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17c116af2c9f9fb7/Desktop/CEDRA PRO SALES/Risk Guard/Excel Toolkit/Master_Register/"/>
    </mc:Choice>
  </mc:AlternateContent>
  <xr:revisionPtr revIDLastSave="2520" documentId="13_ncr:1_{0373F26C-899A-4189-B087-7ADC7F7D1D3A}" xr6:coauthVersionLast="47" xr6:coauthVersionMax="47" xr10:uidLastSave="{0372AA8E-7122-41B4-8A5F-31CAFBBB0C88}"/>
  <bookViews>
    <workbookView xWindow="-108" yWindow="-108" windowWidth="23256" windowHeight="12456" tabRatio="917" xr2:uid="{00000000-000D-0000-FFFF-FFFF00000000}"/>
  </bookViews>
  <sheets>
    <sheet name="Risks" sheetId="35" r:id="rId1"/>
    <sheet name="Issues" sheetId="33" r:id="rId2"/>
    <sheet name="Risk Framework" sheetId="20" state="hidden" r:id="rId3"/>
    <sheet name="Controls Filter" sheetId="12" state="hidden" r:id="rId4"/>
    <sheet name="Monitoring Framework" sheetId="16" state="hidden" r:id="rId5"/>
    <sheet name="Montoring 2" sheetId="17" state="hidden" r:id="rId6"/>
    <sheet name="KRI Monthly Changes" sheetId="23" r:id="rId7"/>
    <sheet name="KPI Monthly Changes" sheetId="26" r:id="rId8"/>
    <sheet name="KRI Table" sheetId="24" state="hidden" r:id="rId9"/>
    <sheet name="Monitoring KRIs Vs KPIs" sheetId="18" state="hidden" r:id="rId10"/>
    <sheet name="Executive Risk Dashboard" sheetId="19" state="hidden" r:id="rId11"/>
    <sheet name="KPIs Table" sheetId="25" state="hidden" r:id="rId12"/>
    <sheet name="Assumptions" sheetId="4" state="hidden" r:id="rId13"/>
    <sheet name="Dependencies" sheetId="3" state="hidden" r:id="rId14"/>
    <sheet name="Dashboard" sheetId="42" r:id="rId15"/>
    <sheet name="KRIs VS KPIs" sheetId="21" r:id="rId16"/>
    <sheet name="KRI_KPI Overview" sheetId="28" r:id="rId17"/>
    <sheet name="Guide" sheetId="44" r:id="rId18"/>
    <sheet name="Risk matrix1" sheetId="37" r:id="rId19"/>
    <sheet name="RAD data" sheetId="38" r:id="rId20"/>
    <sheet name="Issue data" sheetId="39" r:id="rId21"/>
    <sheet name="Heat Map Report" sheetId="5" r:id="rId22"/>
    <sheet name="Pivot_table" sheetId="43" state="hidden" r:id="rId23"/>
    <sheet name="Opportunities" sheetId="6" state="hidden" r:id="rId24"/>
    <sheet name="Tickmarks" sheetId="32" state="veryHidden" r:id="rId25"/>
  </sheets>
  <functionGroups builtInGroupCount="19"/>
  <externalReferences>
    <externalReference r:id="rId26"/>
    <externalReference r:id="rId27"/>
  </externalReferences>
  <definedNames>
    <definedName name="_xlnm._FilterDatabase" localSheetId="1" hidden="1">Issues!$A$7:$Q$107</definedName>
    <definedName name="_xlnm._FilterDatabase" localSheetId="6" hidden="1">'KRI Monthly Changes'!$C$2:$W$11</definedName>
    <definedName name="_xlnm._FilterDatabase" localSheetId="15" hidden="1">'KRI Table'!$A$3:$I$27</definedName>
    <definedName name="_xlnm._FilterDatabase" localSheetId="2" hidden="1">'Risk Framework'!$A$18:$N$42</definedName>
    <definedName name="_xlnm._FilterDatabase" localSheetId="0" hidden="1">Risks!$A$7:$AA$110</definedName>
    <definedName name="_xlcn.WorksheetConnection_Risk_Register_version_2.xlsmRISK_table1" hidden="1">RISK_table_1</definedName>
    <definedName name="_xleta.FREQUENCY" hidden="1" xlm="1">#NAME?</definedName>
    <definedName name="_xleta.IF" hidden="1" xlm="1">#NAME?</definedName>
    <definedName name="_xleta.RATE" hidden="1" xlm="1">#NAME?</definedName>
    <definedName name="_xleta.T" hidden="1" xlm="1">#NAME?</definedName>
    <definedName name="_xleta.VALUE" hidden="1" xlm="1">#NAME?</definedName>
    <definedName name="_xleta.XLOOKUP" hidden="1" xlm="1">#NAME?</definedName>
    <definedName name="_xlpm.firstNum" hidden="1" xlm="1">#NAME?</definedName>
    <definedName name="_xlpm.noSymbols" hidden="1" xlm="1">#NAME?</definedName>
    <definedName name="_xlpm.s" hidden="1" xlm="1">#NAME?</definedName>
    <definedName name="_xlpm.scores" hidden="1" xlm="1">#NAME?</definedName>
    <definedName name="_xlpm.selected" hidden="1" xlm="1">#NAME?</definedName>
    <definedName name="_xlpm.txt" hidden="1" xlm="1">#NAME?</definedName>
    <definedName name="_xlpm.ws" hidden="1" xlm="1">#NAME?</definedName>
    <definedName name="Cat_External">#REF!</definedName>
    <definedName name="Count_Log" localSheetId="1">Issues!$E$5</definedName>
    <definedName name="Count_Log">#REF!</definedName>
    <definedName name="ctrlCount" localSheetId="1">Issues!$P$5</definedName>
    <definedName name="ctrlCount">#REF!</definedName>
    <definedName name="ctrlNumber">#REF!</definedName>
    <definedName name="ExternalData_1" localSheetId="3" hidden="1">'Controls Filter'!$A$10:$N$14</definedName>
    <definedName name="Gross_I" localSheetId="0">Risks!$J$8:$J$40</definedName>
    <definedName name="Gross_I">#REF!</definedName>
    <definedName name="Gross_L" localSheetId="0">Risks!$K$8:$K$40</definedName>
    <definedName name="Gross_L">#REF!</definedName>
    <definedName name="KRI_Financial" localSheetId="14">_xlfn._xlws.FILTER('[1]KRI_KPI Overview'!A1:A8, '[1]KRI_KPI Overview'!XFC1:XFC8="Financial")</definedName>
    <definedName name="KRI_Financial">_xlfn._xlws.FILTER('KRI_KPI Overview'!A1:A8, 'KRI_KPI Overview'!XFC1:XFC8="Financial")</definedName>
    <definedName name="KRI_workstream" localSheetId="14">[1]!KRI_table[Workstream]</definedName>
    <definedName name="KRI_workstream">#REF!</definedName>
    <definedName name="linked_KRI">_xlfn.TEXTSPLIT(INDIRECT("AR" &amp; ROW()), ",")</definedName>
    <definedName name="Net_I" localSheetId="0">Risks!$P$8:$P$40</definedName>
    <definedName name="Net_I">#REF!</definedName>
    <definedName name="Net_L" localSheetId="0">Risks!$Q$8:$Q$40</definedName>
    <definedName name="Net_L">#REF!</definedName>
    <definedName name="Objectives" localSheetId="14">#REF!</definedName>
    <definedName name="Objectives">#REF!</definedName>
    <definedName name="_xlnm.Print_Area" localSheetId="21">'Heat Map Report'!$B$2:$P$10</definedName>
    <definedName name="_xlnm.Print_Area" localSheetId="1">Issues!$B$1:$Q$53</definedName>
    <definedName name="_xlnm.Print_Area" localSheetId="0">Risks!$B$2:$AA$89</definedName>
    <definedName name="_xlnm.Print_Titles" localSheetId="1">Issues!$1:$7</definedName>
    <definedName name="_xlnm.Print_Titles" localSheetId="0">Risks!$2:$7</definedName>
    <definedName name="qryFilter_01">'Controls Filter'!$B$5</definedName>
    <definedName name="risk_status_options">'RAD data'!$G$4:$G$11</definedName>
    <definedName name="rngControl_Tasks">#REF!</definedName>
    <definedName name="rngCTRL_RiskRef">#REF!</definedName>
    <definedName name="rngData_Controls">#REF!</definedName>
    <definedName name="rngData_Risks" localSheetId="0">Risks!$A$7:$Z$40</definedName>
    <definedName name="rngData_Risks">#REF!</definedName>
    <definedName name="rngRisk_Grp">#REF!</definedName>
    <definedName name="rngRisk_Owner" localSheetId="0">Risks!$O$8:$O$40</definedName>
    <definedName name="rngRisk_Owner">#REF!</definedName>
    <definedName name="rngRisk_Refs" localSheetId="14">'[1]Risk Register'!$B$8:$B$40</definedName>
    <definedName name="rngRisk_Refs" localSheetId="1">#REF!</definedName>
    <definedName name="rngRisk_Refs" localSheetId="0">Risks!$B$8:$B$40</definedName>
    <definedName name="rngRisk_Refs">#REF!</definedName>
    <definedName name="rngRisks" localSheetId="0">Risks!$A$8:$Z$40</definedName>
    <definedName name="rngRisks">#REF!</definedName>
    <definedName name="rngStatus" localSheetId="14">'[1]RAD data'!#REF!</definedName>
    <definedName name="rngStatus" localSheetId="1">#REF!</definedName>
    <definedName name="rngStatus" localSheetId="0">#REF!</definedName>
    <definedName name="rngStatus">#REF!</definedName>
    <definedName name="Z_C2C64AFF_719D_4BC9_890F_147B4447CC0D_.wvu.Cols" localSheetId="0" hidden="1">Risks!#REF!,Risks!$I:$I</definedName>
    <definedName name="Z_C2C64AFF_719D_4BC9_890F_147B4447CC0D_.wvu.FilterData" localSheetId="1" hidden="1">Issues!$B$7:$R$7</definedName>
    <definedName name="Z_C2C64AFF_719D_4BC9_890F_147B4447CC0D_.wvu.PrintArea" localSheetId="21" hidden="1">'Heat Map Report'!$B$2:$P$10</definedName>
    <definedName name="Z_C2C64AFF_719D_4BC9_890F_147B4447CC0D_.wvu.Rows" localSheetId="1" hidden="1">Issues!$5:$5</definedName>
    <definedName name="Z_C2C64AFF_719D_4BC9_890F_147B4447CC0D_.wvu.Rows" localSheetId="0" hidden="1">Risks!$1:$1,Risks!#REF!</definedName>
    <definedName name="Z_CFB060A1_0877_4347_95EC_FD6452ADBD74_.wvu.Cols" localSheetId="0" hidden="1">Risks!#REF!,Risks!$I:$I</definedName>
    <definedName name="Z_CFB060A1_0877_4347_95EC_FD6452ADBD74_.wvu.FilterData" localSheetId="1" hidden="1">Issues!$B$7:$R$7</definedName>
    <definedName name="Z_CFB060A1_0877_4347_95EC_FD6452ADBD74_.wvu.PrintArea" localSheetId="21" hidden="1">'Heat Map Report'!$B$2:$P$10</definedName>
    <definedName name="Z_CFB060A1_0877_4347_95EC_FD6452ADBD74_.wvu.Rows" localSheetId="1" hidden="1">Issues!$5:$5</definedName>
    <definedName name="Z_CFB060A1_0877_4347_95EC_FD6452ADBD74_.wvu.Rows" localSheetId="0" hidden="1">Risks!$1:$1,Risks!#REF!</definedName>
  </definedNames>
  <calcPr calcId="191028"/>
  <customWorkbookViews>
    <customWorkbookView name="Amos, David - Personal View" guid="{C2C64AFF-719D-4BC9-890F-147B4447CC0D}" mergeInterval="0" personalView="1" maximized="1" xWindow="-11" yWindow="-11" windowWidth="2582" windowHeight="1402" tabRatio="603" activeSheetId="10"/>
    <customWorkbookView name="Terry-Donovan, Cordelia - Personal View" guid="{CFB060A1-0877-4347-95EC-FD6452ADBD74}" mergeInterval="0" personalView="1" maximized="1" xWindow="-9" yWindow="-9" windowWidth="1938" windowHeight="1048" tabRatio="603" activeSheetId="1"/>
  </customWorkbookViews>
  <pivotCaches>
    <pivotCache cacheId="4" r:id="rId28"/>
  </pivotCaches>
  <fileRecoveryPr autoRecover="0"/>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ISK_table" name="RISK_table" connection="WorksheetConnection_Risk_Register_version_2.xlsm!RISK_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8" i="35" l="1"/>
  <c r="AF9" i="35"/>
  <c r="AG9" i="35" s="1"/>
  <c r="AG8" i="35"/>
  <c r="AG10" i="35"/>
  <c r="AG11" i="35"/>
  <c r="AG12" i="35"/>
  <c r="AG13" i="35"/>
  <c r="AG14" i="35"/>
  <c r="AG15" i="35"/>
  <c r="AG16" i="35"/>
  <c r="AG17" i="35"/>
  <c r="AG18" i="35"/>
  <c r="AG19" i="35"/>
  <c r="AG20" i="35"/>
  <c r="AG21" i="35"/>
  <c r="AG22" i="35"/>
  <c r="AG23" i="35"/>
  <c r="AG24" i="35"/>
  <c r="AG25" i="35"/>
  <c r="AG26" i="35"/>
  <c r="AG27" i="35"/>
  <c r="AG28" i="35"/>
  <c r="AG29" i="35"/>
  <c r="AG30" i="35"/>
  <c r="AG31" i="35"/>
  <c r="AG32" i="35"/>
  <c r="AG33" i="35"/>
  <c r="AG34" i="35"/>
  <c r="AG35" i="35"/>
  <c r="AG36" i="35"/>
  <c r="AG37" i="35"/>
  <c r="AG38" i="35"/>
  <c r="AG39" i="35"/>
  <c r="AG40" i="35"/>
  <c r="AG41" i="35"/>
  <c r="AG42" i="35"/>
  <c r="AG43" i="35"/>
  <c r="AG44" i="35"/>
  <c r="AG45" i="35"/>
  <c r="AG46" i="35"/>
  <c r="AG47" i="35"/>
  <c r="AG48" i="35"/>
  <c r="AG49" i="35"/>
  <c r="AG50" i="35"/>
  <c r="AG51" i="35"/>
  <c r="AG52" i="35"/>
  <c r="AG53" i="35"/>
  <c r="AG54" i="35"/>
  <c r="AG55" i="35"/>
  <c r="AG56" i="35"/>
  <c r="AG57" i="35"/>
  <c r="AG58" i="35"/>
  <c r="AG59" i="35"/>
  <c r="AG60" i="35"/>
  <c r="AG61" i="35"/>
  <c r="AG62" i="35"/>
  <c r="AG63" i="35"/>
  <c r="AG64" i="35"/>
  <c r="AG65" i="35"/>
  <c r="AG66" i="35"/>
  <c r="AG67" i="35"/>
  <c r="AG68" i="35"/>
  <c r="AG69" i="35"/>
  <c r="AG70" i="35"/>
  <c r="AG71" i="35"/>
  <c r="AG72" i="35"/>
  <c r="AG73" i="35"/>
  <c r="AG74" i="35"/>
  <c r="AG75" i="35"/>
  <c r="AG76" i="35"/>
  <c r="AG77" i="35"/>
  <c r="AG78" i="35"/>
  <c r="AG79" i="35"/>
  <c r="AG80" i="35"/>
  <c r="AG81" i="35"/>
  <c r="AG82" i="35"/>
  <c r="AG83" i="35"/>
  <c r="AG84" i="35"/>
  <c r="AG85" i="35"/>
  <c r="AG86" i="35"/>
  <c r="AG87" i="35"/>
  <c r="AG88" i="35"/>
  <c r="AG89" i="35"/>
  <c r="AG90" i="35"/>
  <c r="AG91" i="35"/>
  <c r="AG92" i="35"/>
  <c r="AG93" i="35"/>
  <c r="AG94" i="35"/>
  <c r="AG95" i="35"/>
  <c r="AG96" i="35"/>
  <c r="AG97" i="35"/>
  <c r="AG98" i="35"/>
  <c r="AG99" i="35"/>
  <c r="AG100" i="35"/>
  <c r="AG101" i="35"/>
  <c r="AG102" i="35"/>
  <c r="AG103" i="35"/>
  <c r="AG104" i="35"/>
  <c r="AG105" i="35"/>
  <c r="AG106" i="35"/>
  <c r="AG107" i="35"/>
  <c r="AG108" i="35"/>
  <c r="AG109" i="35"/>
  <c r="AG110" i="35"/>
  <c r="AF82" i="35"/>
  <c r="AC81" i="35"/>
  <c r="AC85" i="35"/>
  <c r="B18" i="35"/>
  <c r="B12" i="35"/>
  <c r="B17" i="35" l="1"/>
  <c r="B9" i="35"/>
  <c r="L47" i="42" l="1"/>
  <c r="L48" i="42"/>
  <c r="L49" i="42"/>
  <c r="L50" i="42"/>
  <c r="L51" i="42"/>
  <c r="L52" i="42"/>
  <c r="L53" i="42"/>
  <c r="L54" i="42"/>
  <c r="L55" i="42"/>
  <c r="L56" i="42"/>
  <c r="L57" i="42"/>
  <c r="L58" i="42"/>
  <c r="L59" i="42"/>
  <c r="L60" i="42"/>
  <c r="L61" i="42"/>
  <c r="L62" i="42"/>
  <c r="L63" i="42"/>
  <c r="L64" i="42"/>
  <c r="L65" i="42"/>
  <c r="L66" i="42"/>
  <c r="L67" i="42"/>
  <c r="L68" i="42"/>
  <c r="L46" i="42"/>
  <c r="K47" i="42"/>
  <c r="K48" i="42"/>
  <c r="K49" i="42"/>
  <c r="K50" i="42"/>
  <c r="K51" i="42"/>
  <c r="K52" i="42"/>
  <c r="K53" i="42"/>
  <c r="K54" i="42"/>
  <c r="K55" i="42"/>
  <c r="K56" i="42"/>
  <c r="K57" i="42"/>
  <c r="K58" i="42"/>
  <c r="K59" i="42"/>
  <c r="K60" i="42"/>
  <c r="K61" i="42"/>
  <c r="K62" i="42"/>
  <c r="K63" i="42"/>
  <c r="K64" i="42"/>
  <c r="K65" i="42"/>
  <c r="K66" i="42"/>
  <c r="K67" i="42"/>
  <c r="K68" i="42"/>
  <c r="K46" i="42"/>
  <c r="J47" i="42"/>
  <c r="J48" i="42"/>
  <c r="J49" i="42"/>
  <c r="J50" i="42"/>
  <c r="J51" i="42"/>
  <c r="J52" i="42"/>
  <c r="J53" i="42"/>
  <c r="J54" i="42"/>
  <c r="J55" i="42"/>
  <c r="J56" i="42"/>
  <c r="J57" i="42"/>
  <c r="J58" i="42"/>
  <c r="J59" i="42"/>
  <c r="J60" i="42"/>
  <c r="J61" i="42"/>
  <c r="J62" i="42"/>
  <c r="J63" i="42"/>
  <c r="J64" i="42"/>
  <c r="J65" i="42"/>
  <c r="J66" i="42"/>
  <c r="J67" i="42"/>
  <c r="J68" i="42"/>
  <c r="J46" i="42"/>
  <c r="I46" i="42" a="1"/>
  <c r="I46" i="42" s="1"/>
  <c r="E52" i="42" a="1"/>
  <c r="E52" i="42" s="1"/>
  <c r="E50" i="42" a="1"/>
  <c r="E50" i="42" s="1"/>
  <c r="E48" i="42" a="1"/>
  <c r="E48" i="42" s="1"/>
  <c r="D52" i="42"/>
  <c r="D50" i="42"/>
  <c r="D48" i="42"/>
  <c r="V6" i="5"/>
  <c r="V5" i="5"/>
  <c r="V4" i="5"/>
  <c r="U6" i="5"/>
  <c r="U5" i="5"/>
  <c r="U4" i="5"/>
  <c r="T4" i="5"/>
  <c r="T6" i="5"/>
  <c r="T5" i="5"/>
  <c r="P5" i="5"/>
  <c r="P6" i="5"/>
  <c r="P7" i="5"/>
  <c r="P8" i="5"/>
  <c r="P4" i="5"/>
  <c r="O5" i="5"/>
  <c r="O6" i="5"/>
  <c r="O7" i="5"/>
  <c r="O8" i="5"/>
  <c r="N5" i="5"/>
  <c r="N6" i="5"/>
  <c r="N7" i="5"/>
  <c r="N8" i="5"/>
  <c r="N4" i="5"/>
  <c r="M5" i="5"/>
  <c r="M6" i="5"/>
  <c r="M7" i="5"/>
  <c r="M8" i="5"/>
  <c r="M4" i="5"/>
  <c r="L4" i="5"/>
  <c r="L5" i="5"/>
  <c r="L6" i="5"/>
  <c r="L7" i="5"/>
  <c r="L8" i="5"/>
  <c r="D4" i="5"/>
  <c r="H5" i="5"/>
  <c r="H6" i="5"/>
  <c r="H7" i="5"/>
  <c r="H8" i="5"/>
  <c r="H4" i="5"/>
  <c r="G5" i="5"/>
  <c r="G6" i="5"/>
  <c r="G7" i="5"/>
  <c r="G8" i="5"/>
  <c r="G4" i="5"/>
  <c r="F5" i="5"/>
  <c r="F6" i="5"/>
  <c r="F7" i="5"/>
  <c r="F8" i="5"/>
  <c r="F4" i="5"/>
  <c r="E8" i="5"/>
  <c r="E5" i="5"/>
  <c r="E6" i="5"/>
  <c r="E7" i="5"/>
  <c r="E4" i="5"/>
  <c r="D8" i="5"/>
  <c r="D7" i="5"/>
  <c r="D6" i="5"/>
  <c r="D5" i="5"/>
  <c r="L8" i="35"/>
  <c r="L9" i="35"/>
  <c r="L10" i="35"/>
  <c r="L11" i="35"/>
  <c r="L12" i="35"/>
  <c r="L13" i="35"/>
  <c r="L14" i="35"/>
  <c r="L15" i="35"/>
  <c r="L16" i="35"/>
  <c r="L17" i="35"/>
  <c r="L18" i="35"/>
  <c r="L19" i="35"/>
  <c r="L20" i="35"/>
  <c r="L21" i="35"/>
  <c r="L22" i="35"/>
  <c r="L23" i="35"/>
  <c r="L24" i="35"/>
  <c r="L25" i="35"/>
  <c r="L26" i="35"/>
  <c r="L27" i="35"/>
  <c r="L28" i="35"/>
  <c r="L29" i="35"/>
  <c r="L30" i="35"/>
  <c r="L31" i="35"/>
  <c r="L32" i="35"/>
  <c r="L33" i="35"/>
  <c r="L34" i="35"/>
  <c r="L35" i="35"/>
  <c r="L36" i="35"/>
  <c r="L37" i="35"/>
  <c r="L38" i="35"/>
  <c r="L39" i="35"/>
  <c r="L40" i="35"/>
  <c r="L41" i="35"/>
  <c r="L42" i="35"/>
  <c r="L43" i="35"/>
  <c r="L44" i="35"/>
  <c r="L45" i="35"/>
  <c r="L46" i="35"/>
  <c r="L47" i="35"/>
  <c r="L48" i="35"/>
  <c r="L49" i="35"/>
  <c r="L50" i="35"/>
  <c r="L51" i="35"/>
  <c r="L52" i="35"/>
  <c r="L53" i="35"/>
  <c r="L54" i="35"/>
  <c r="L55" i="35"/>
  <c r="L56" i="35"/>
  <c r="L57" i="35"/>
  <c r="L58" i="35"/>
  <c r="L59" i="35"/>
  <c r="L60" i="35"/>
  <c r="L61" i="35"/>
  <c r="L62" i="35"/>
  <c r="L63" i="35"/>
  <c r="L64" i="35"/>
  <c r="L65" i="35"/>
  <c r="L66" i="35"/>
  <c r="L67" i="35"/>
  <c r="L68" i="35"/>
  <c r="L69" i="35"/>
  <c r="L70" i="35"/>
  <c r="L71" i="35"/>
  <c r="L72" i="35"/>
  <c r="L73" i="35"/>
  <c r="L74" i="35"/>
  <c r="L75" i="35"/>
  <c r="L76" i="35"/>
  <c r="L77" i="35"/>
  <c r="L78" i="35"/>
  <c r="L79" i="35"/>
  <c r="L80" i="35"/>
  <c r="L81" i="35"/>
  <c r="L82" i="35"/>
  <c r="L83" i="35"/>
  <c r="L84" i="35"/>
  <c r="L85" i="35"/>
  <c r="L86" i="35"/>
  <c r="L87" i="35"/>
  <c r="L88" i="35"/>
  <c r="L89" i="35"/>
  <c r="L90" i="35"/>
  <c r="L91" i="35"/>
  <c r="L92" i="35"/>
  <c r="L93" i="35"/>
  <c r="L94" i="35"/>
  <c r="L95" i="35"/>
  <c r="L96" i="35"/>
  <c r="L97" i="35"/>
  <c r="L98" i="35"/>
  <c r="L99" i="35"/>
  <c r="L100" i="35"/>
  <c r="L101" i="35"/>
  <c r="L102" i="35"/>
  <c r="L103" i="35"/>
  <c r="L104" i="35"/>
  <c r="L105" i="35"/>
  <c r="L106" i="35"/>
  <c r="L107" i="35"/>
  <c r="L108" i="35"/>
  <c r="L109" i="35"/>
  <c r="L110" i="35"/>
  <c r="O16" i="26"/>
  <c r="N16" i="26"/>
  <c r="M16" i="26"/>
  <c r="K16" i="26"/>
  <c r="F16" i="26"/>
  <c r="E16" i="26"/>
  <c r="D16" i="26"/>
  <c r="O15" i="26"/>
  <c r="N15" i="26"/>
  <c r="M15" i="26"/>
  <c r="K15" i="26"/>
  <c r="F15" i="26"/>
  <c r="E15" i="26"/>
  <c r="D15" i="26"/>
  <c r="O14" i="26"/>
  <c r="N14" i="26"/>
  <c r="M14" i="26"/>
  <c r="K14" i="26"/>
  <c r="F14" i="26"/>
  <c r="E14" i="26"/>
  <c r="D14" i="26"/>
  <c r="O13" i="26"/>
  <c r="N13" i="26"/>
  <c r="M13" i="26"/>
  <c r="K13" i="26"/>
  <c r="F13" i="26"/>
  <c r="E13" i="26"/>
  <c r="D13" i="26"/>
  <c r="O12" i="26"/>
  <c r="N12" i="26"/>
  <c r="M12" i="26"/>
  <c r="K12" i="26"/>
  <c r="F12" i="26"/>
  <c r="E12" i="26"/>
  <c r="D12" i="26"/>
  <c r="O11" i="26"/>
  <c r="N11" i="26"/>
  <c r="M11" i="26"/>
  <c r="K11" i="26"/>
  <c r="F11" i="26"/>
  <c r="E11" i="26"/>
  <c r="D11" i="26"/>
  <c r="O10" i="26"/>
  <c r="N10" i="26"/>
  <c r="M10" i="26"/>
  <c r="K10" i="26"/>
  <c r="F10" i="26"/>
  <c r="E10" i="26"/>
  <c r="D10" i="26"/>
  <c r="O9" i="26"/>
  <c r="N9" i="26"/>
  <c r="M9" i="26"/>
  <c r="K9" i="26"/>
  <c r="F9" i="26"/>
  <c r="E9" i="26"/>
  <c r="D9" i="26"/>
  <c r="O8" i="26"/>
  <c r="N8" i="26"/>
  <c r="M8" i="26"/>
  <c r="K8" i="26"/>
  <c r="F8" i="26"/>
  <c r="E8" i="26"/>
  <c r="D8" i="26"/>
  <c r="O7" i="26"/>
  <c r="N7" i="26"/>
  <c r="M7" i="26"/>
  <c r="K7" i="26"/>
  <c r="F7" i="26"/>
  <c r="E7" i="26"/>
  <c r="D7" i="26"/>
  <c r="O6" i="26"/>
  <c r="N6" i="26"/>
  <c r="M6" i="26"/>
  <c r="K6" i="26"/>
  <c r="F6" i="26"/>
  <c r="E6" i="26"/>
  <c r="D6" i="26"/>
  <c r="O5" i="26"/>
  <c r="N5" i="26"/>
  <c r="M5" i="26"/>
  <c r="K5" i="26"/>
  <c r="F5" i="26"/>
  <c r="E5" i="26"/>
  <c r="D5" i="26"/>
  <c r="O4" i="26"/>
  <c r="N4" i="26"/>
  <c r="M4" i="26"/>
  <c r="K4" i="26"/>
  <c r="F4" i="26"/>
  <c r="E4" i="26"/>
  <c r="D4" i="26"/>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0" i="33"/>
  <c r="K41" i="33"/>
  <c r="K42" i="33"/>
  <c r="K43" i="33"/>
  <c r="K44" i="33"/>
  <c r="K45" i="33"/>
  <c r="K46" i="33"/>
  <c r="K47" i="33"/>
  <c r="K48" i="33"/>
  <c r="K49" i="33"/>
  <c r="K50" i="33"/>
  <c r="K51" i="33"/>
  <c r="K52" i="33"/>
  <c r="K53" i="33"/>
  <c r="K54" i="33"/>
  <c r="K55" i="33"/>
  <c r="K56" i="33"/>
  <c r="K57" i="33"/>
  <c r="K58" i="33"/>
  <c r="K59" i="33"/>
  <c r="K60" i="33"/>
  <c r="K61" i="33"/>
  <c r="K62" i="33"/>
  <c r="K63" i="33"/>
  <c r="K64" i="33"/>
  <c r="K65" i="33"/>
  <c r="K66" i="33"/>
  <c r="K67" i="33"/>
  <c r="K68" i="33"/>
  <c r="K69" i="33"/>
  <c r="K70" i="33"/>
  <c r="K71" i="33"/>
  <c r="K72" i="33"/>
  <c r="K73" i="33"/>
  <c r="K74" i="33"/>
  <c r="K75" i="33"/>
  <c r="K76" i="33"/>
  <c r="K77" i="33"/>
  <c r="K78" i="33"/>
  <c r="K79" i="33"/>
  <c r="K80" i="33"/>
  <c r="K81" i="33"/>
  <c r="K82" i="33"/>
  <c r="K83" i="33"/>
  <c r="K84" i="33"/>
  <c r="K85" i="33"/>
  <c r="K86" i="33"/>
  <c r="K87" i="33"/>
  <c r="K88" i="33"/>
  <c r="K89" i="33"/>
  <c r="K90" i="33"/>
  <c r="K91" i="33"/>
  <c r="K92" i="33"/>
  <c r="K93" i="33"/>
  <c r="K94" i="33"/>
  <c r="K95" i="33"/>
  <c r="K96" i="33"/>
  <c r="K97" i="33"/>
  <c r="K98" i="33"/>
  <c r="K99" i="33"/>
  <c r="K100" i="33"/>
  <c r="K101" i="33"/>
  <c r="K102" i="33"/>
  <c r="K103" i="33"/>
  <c r="K104" i="33"/>
  <c r="K105" i="33"/>
  <c r="K106" i="33"/>
  <c r="K107" i="33"/>
  <c r="AH102" i="35"/>
  <c r="AI102" i="35" s="1"/>
  <c r="AD95" i="35"/>
  <c r="AH95" i="35" s="1"/>
  <c r="AI95" i="35" s="1"/>
  <c r="AD96" i="35"/>
  <c r="AH96" i="35" s="1"/>
  <c r="AI96" i="35" s="1"/>
  <c r="AD97" i="35"/>
  <c r="AH97" i="35" s="1"/>
  <c r="AI97" i="35" s="1"/>
  <c r="AD98" i="35"/>
  <c r="AH98" i="35" s="1"/>
  <c r="AI98" i="35" s="1"/>
  <c r="AD99" i="35"/>
  <c r="AH99" i="35" s="1"/>
  <c r="AI99" i="35" s="1"/>
  <c r="AD100" i="35"/>
  <c r="AH100" i="35" s="1"/>
  <c r="AI100" i="35" s="1"/>
  <c r="AD101" i="35"/>
  <c r="AH101" i="35" s="1"/>
  <c r="AI101" i="35" s="1"/>
  <c r="AD102" i="35"/>
  <c r="AD103" i="35"/>
  <c r="AH103" i="35" s="1"/>
  <c r="AI103" i="35" s="1"/>
  <c r="AD104" i="35"/>
  <c r="AH104" i="35" s="1"/>
  <c r="AI104" i="35" s="1"/>
  <c r="AD105" i="35"/>
  <c r="AH105" i="35" s="1"/>
  <c r="AI105" i="35" s="1"/>
  <c r="AD106" i="35"/>
  <c r="AH106" i="35" s="1"/>
  <c r="AI106" i="35" s="1"/>
  <c r="AD107" i="35"/>
  <c r="AH107" i="35" s="1"/>
  <c r="AI107" i="35" s="1"/>
  <c r="AD108" i="35"/>
  <c r="AH108" i="35" s="1"/>
  <c r="AI108" i="35" s="1"/>
  <c r="AD109" i="35"/>
  <c r="AH109" i="35" s="1"/>
  <c r="AI109" i="35" s="1"/>
  <c r="AD110" i="35"/>
  <c r="AH110" i="35" s="1"/>
  <c r="AI110" i="35" s="1"/>
  <c r="R9" i="35"/>
  <c r="R10" i="35"/>
  <c r="R11" i="35"/>
  <c r="R12" i="35"/>
  <c r="R13" i="35"/>
  <c r="R14" i="35"/>
  <c r="R15" i="35"/>
  <c r="R16" i="35"/>
  <c r="R17" i="35"/>
  <c r="R18" i="35"/>
  <c r="R19" i="35"/>
  <c r="R20" i="35"/>
  <c r="R21" i="35"/>
  <c r="R22" i="35"/>
  <c r="R23" i="35"/>
  <c r="R24" i="35"/>
  <c r="R25" i="35"/>
  <c r="R26" i="35"/>
  <c r="R27" i="35"/>
  <c r="R28" i="35"/>
  <c r="R29" i="35"/>
  <c r="R30" i="35"/>
  <c r="R31" i="35"/>
  <c r="R32" i="35"/>
  <c r="R33" i="35"/>
  <c r="R34" i="35"/>
  <c r="R35" i="35"/>
  <c r="R36" i="35"/>
  <c r="R37" i="35"/>
  <c r="R38" i="35"/>
  <c r="R39" i="35"/>
  <c r="R40" i="35"/>
  <c r="R41" i="35"/>
  <c r="R42" i="35"/>
  <c r="R43" i="35"/>
  <c r="R44" i="35"/>
  <c r="R45" i="35"/>
  <c r="R46" i="35"/>
  <c r="R47" i="35"/>
  <c r="R48" i="35"/>
  <c r="R49" i="35"/>
  <c r="R50" i="35"/>
  <c r="R51" i="35"/>
  <c r="R52" i="35"/>
  <c r="R53" i="35"/>
  <c r="R54" i="35"/>
  <c r="R55" i="35"/>
  <c r="R56" i="35"/>
  <c r="R57" i="35"/>
  <c r="R58" i="35"/>
  <c r="R59" i="35"/>
  <c r="R60" i="35"/>
  <c r="R61" i="35"/>
  <c r="R62" i="35"/>
  <c r="R63" i="35"/>
  <c r="R64" i="35"/>
  <c r="R65" i="35"/>
  <c r="R66" i="35"/>
  <c r="R67" i="35"/>
  <c r="R68" i="35"/>
  <c r="R69" i="35"/>
  <c r="R70" i="35"/>
  <c r="R71" i="35"/>
  <c r="R72" i="35"/>
  <c r="R73" i="35"/>
  <c r="R74" i="35"/>
  <c r="R75" i="35"/>
  <c r="R76" i="35"/>
  <c r="R77" i="35"/>
  <c r="R78" i="35"/>
  <c r="R79" i="35"/>
  <c r="R80" i="35"/>
  <c r="R81" i="35"/>
  <c r="R82" i="35"/>
  <c r="R83" i="35"/>
  <c r="R84" i="35"/>
  <c r="R85" i="35"/>
  <c r="R86" i="35"/>
  <c r="R87" i="35"/>
  <c r="R88" i="35"/>
  <c r="R89" i="35"/>
  <c r="R90" i="35"/>
  <c r="R91" i="35"/>
  <c r="R92" i="35"/>
  <c r="R93" i="35"/>
  <c r="R94" i="35"/>
  <c r="R95" i="35"/>
  <c r="R96" i="35"/>
  <c r="R97" i="35"/>
  <c r="R98" i="35"/>
  <c r="R99" i="35"/>
  <c r="R100" i="35"/>
  <c r="R101" i="35"/>
  <c r="R102" i="35"/>
  <c r="R103" i="35"/>
  <c r="R104" i="35"/>
  <c r="R105" i="35"/>
  <c r="R106" i="35"/>
  <c r="R107" i="35"/>
  <c r="R108" i="35"/>
  <c r="R109" i="35"/>
  <c r="R110" i="35"/>
  <c r="AF94" i="35"/>
  <c r="AC94" i="35"/>
  <c r="AD94" i="35" s="1"/>
  <c r="AH94" i="35" s="1"/>
  <c r="AI94" i="35" s="1"/>
  <c r="B11" i="33" l="1"/>
  <c r="B12" i="33"/>
  <c r="B13" i="33"/>
  <c r="B14" i="33"/>
  <c r="B15" i="33"/>
  <c r="B16" i="33"/>
  <c r="B17" i="33"/>
  <c r="B18" i="33"/>
  <c r="B19" i="33"/>
  <c r="B20" i="33"/>
  <c r="B21" i="33"/>
  <c r="B22" i="33"/>
  <c r="B23" i="33"/>
  <c r="B24" i="33"/>
  <c r="B25" i="33"/>
  <c r="B26" i="33"/>
  <c r="B27" i="33"/>
  <c r="B28" i="33"/>
  <c r="B29" i="33"/>
  <c r="B30" i="33"/>
  <c r="B31" i="33"/>
  <c r="B32" i="33"/>
  <c r="B33" i="33"/>
  <c r="B34" i="33"/>
  <c r="B35" i="33"/>
  <c r="B36" i="33"/>
  <c r="B37" i="33"/>
  <c r="B38" i="33"/>
  <c r="B39" i="33"/>
  <c r="B40" i="33"/>
  <c r="B41" i="33"/>
  <c r="B42" i="33"/>
  <c r="B43" i="33"/>
  <c r="B44" i="33"/>
  <c r="B45" i="33"/>
  <c r="B46" i="33"/>
  <c r="B47" i="33"/>
  <c r="B48" i="33"/>
  <c r="B49" i="33"/>
  <c r="B50" i="33"/>
  <c r="B51" i="33"/>
  <c r="B100" i="33" l="1"/>
  <c r="B99" i="33"/>
  <c r="B98" i="33"/>
  <c r="B97" i="33"/>
  <c r="B96" i="33"/>
  <c r="B95" i="33"/>
  <c r="B94" i="33"/>
  <c r="B93" i="33"/>
  <c r="B92" i="33"/>
  <c r="B91" i="33"/>
  <c r="B90" i="33"/>
  <c r="B89" i="33"/>
  <c r="D23" i="42" l="1"/>
  <c r="AC80" i="35"/>
  <c r="AD80" i="35" s="1"/>
  <c r="AC82" i="35"/>
  <c r="AD82" i="35" s="1"/>
  <c r="AC84" i="35"/>
  <c r="AD84" i="35" s="1"/>
  <c r="B110" i="35" l="1"/>
  <c r="B109" i="35"/>
  <c r="B108" i="35"/>
  <c r="B107" i="35"/>
  <c r="B106" i="35"/>
  <c r="B105" i="35"/>
  <c r="B104" i="35"/>
  <c r="B103" i="35"/>
  <c r="B102" i="35"/>
  <c r="B101" i="35"/>
  <c r="B100" i="35"/>
  <c r="B99" i="35"/>
  <c r="B98" i="35"/>
  <c r="B97" i="35"/>
  <c r="B96" i="35"/>
  <c r="B95" i="35"/>
  <c r="AF8" i="35" l="1"/>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H80" i="35" s="1"/>
  <c r="AI80" i="35" s="1"/>
  <c r="AF81" i="35"/>
  <c r="AH82" i="35"/>
  <c r="AI82" i="35" s="1"/>
  <c r="AF83" i="35"/>
  <c r="AF84" i="35"/>
  <c r="AH84" i="35" s="1"/>
  <c r="AI84" i="35" s="1"/>
  <c r="AF85" i="35"/>
  <c r="AF86" i="35"/>
  <c r="AF87" i="35"/>
  <c r="AF88" i="35"/>
  <c r="AF89" i="35"/>
  <c r="AF90" i="35"/>
  <c r="AF91" i="35"/>
  <c r="AF92" i="35"/>
  <c r="AF93" i="35"/>
  <c r="AF20" i="35"/>
  <c r="AF19" i="35"/>
  <c r="AF18" i="35"/>
  <c r="AF13" i="35"/>
  <c r="AF14" i="35"/>
  <c r="AF15" i="35"/>
  <c r="AF16" i="35"/>
  <c r="AF17" i="35"/>
  <c r="AF10" i="35"/>
  <c r="AF11" i="35"/>
  <c r="AF12" i="35"/>
  <c r="AC8" i="35"/>
  <c r="AD8" i="35" s="1"/>
  <c r="AH8" i="35" s="1"/>
  <c r="AI8" i="35" s="1"/>
  <c r="AC14" i="35"/>
  <c r="AD14" i="35" s="1"/>
  <c r="AH14" i="35" s="1"/>
  <c r="AI14" i="35" s="1"/>
  <c r="AC15" i="35"/>
  <c r="AD15" i="35" s="1"/>
  <c r="AC16" i="35"/>
  <c r="AD16" i="35" s="1"/>
  <c r="AC17" i="35"/>
  <c r="AD17" i="35" s="1"/>
  <c r="AC18" i="35"/>
  <c r="AD18" i="35" s="1"/>
  <c r="AC19" i="35"/>
  <c r="AD19" i="35" s="1"/>
  <c r="AH19" i="35" s="1"/>
  <c r="AI19" i="35" s="1"/>
  <c r="AC20" i="35"/>
  <c r="AD20" i="35" s="1"/>
  <c r="AH20" i="35" s="1"/>
  <c r="AI20" i="35" s="1"/>
  <c r="AC21" i="35"/>
  <c r="AD21" i="35" s="1"/>
  <c r="AH21" i="35" s="1"/>
  <c r="AI21" i="35" s="1"/>
  <c r="AC22" i="35"/>
  <c r="AD22" i="35" s="1"/>
  <c r="AH22" i="35" s="1"/>
  <c r="AI22" i="35" s="1"/>
  <c r="AC23" i="35"/>
  <c r="AD23" i="35" s="1"/>
  <c r="AH23" i="35" s="1"/>
  <c r="AI23" i="35" s="1"/>
  <c r="AC24" i="35"/>
  <c r="AD24" i="35" s="1"/>
  <c r="AC25" i="35"/>
  <c r="AD25" i="35" s="1"/>
  <c r="AC26" i="35"/>
  <c r="AD26" i="35" s="1"/>
  <c r="AH26" i="35" s="1"/>
  <c r="AI26" i="35" s="1"/>
  <c r="AC27" i="35"/>
  <c r="AD27" i="35" s="1"/>
  <c r="AH27" i="35" s="1"/>
  <c r="AI27" i="35" s="1"/>
  <c r="AC28" i="35"/>
  <c r="AD28" i="35" s="1"/>
  <c r="AH28" i="35" s="1"/>
  <c r="AI28" i="35" s="1"/>
  <c r="AC29" i="35"/>
  <c r="AD29" i="35" s="1"/>
  <c r="AH29" i="35" s="1"/>
  <c r="AI29" i="35" s="1"/>
  <c r="AC30" i="35"/>
  <c r="AD30" i="35" s="1"/>
  <c r="AH30" i="35" s="1"/>
  <c r="AI30" i="35" s="1"/>
  <c r="AC31" i="35"/>
  <c r="AD31" i="35" s="1"/>
  <c r="AH31" i="35" s="1"/>
  <c r="AI31" i="35" s="1"/>
  <c r="AC32" i="35"/>
  <c r="AD32" i="35" s="1"/>
  <c r="AC33" i="35"/>
  <c r="AD33" i="35" s="1"/>
  <c r="AC34" i="35"/>
  <c r="AD34" i="35" s="1"/>
  <c r="AH34" i="35" s="1"/>
  <c r="AI34" i="35" s="1"/>
  <c r="AC35" i="35"/>
  <c r="AD35" i="35" s="1"/>
  <c r="AH35" i="35" s="1"/>
  <c r="AI35" i="35" s="1"/>
  <c r="AC36" i="35"/>
  <c r="AD36" i="35" s="1"/>
  <c r="AH36" i="35" s="1"/>
  <c r="AI36" i="35" s="1"/>
  <c r="AC37" i="35"/>
  <c r="AD37" i="35" s="1"/>
  <c r="AH37" i="35" s="1"/>
  <c r="AI37" i="35" s="1"/>
  <c r="AC38" i="35"/>
  <c r="AD38" i="35" s="1"/>
  <c r="AH38" i="35" s="1"/>
  <c r="AI38" i="35" s="1"/>
  <c r="AC39" i="35"/>
  <c r="AD39" i="35" s="1"/>
  <c r="AH39" i="35" s="1"/>
  <c r="AI39" i="35" s="1"/>
  <c r="AC40" i="35"/>
  <c r="AD40" i="35" s="1"/>
  <c r="AC41" i="35"/>
  <c r="AD41" i="35" s="1"/>
  <c r="AC42" i="35"/>
  <c r="AD42" i="35" s="1"/>
  <c r="AH42" i="35" s="1"/>
  <c r="AI42" i="35" s="1"/>
  <c r="AC43" i="35"/>
  <c r="AD43" i="35" s="1"/>
  <c r="AH43" i="35" s="1"/>
  <c r="AI43" i="35" s="1"/>
  <c r="AC44" i="35"/>
  <c r="AD44" i="35" s="1"/>
  <c r="AH44" i="35" s="1"/>
  <c r="AI44" i="35" s="1"/>
  <c r="AC45" i="35"/>
  <c r="AD45" i="35" s="1"/>
  <c r="AH45" i="35" s="1"/>
  <c r="AI45" i="35" s="1"/>
  <c r="AC46" i="35"/>
  <c r="AD46" i="35" s="1"/>
  <c r="AH46" i="35" s="1"/>
  <c r="AI46" i="35" s="1"/>
  <c r="AC47" i="35"/>
  <c r="AD47" i="35" s="1"/>
  <c r="AH47" i="35" s="1"/>
  <c r="AI47" i="35" s="1"/>
  <c r="AC48" i="35"/>
  <c r="AD48" i="35" s="1"/>
  <c r="AC49" i="35"/>
  <c r="AD49" i="35" s="1"/>
  <c r="AC50" i="35"/>
  <c r="AD50" i="35" s="1"/>
  <c r="AH50" i="35" s="1"/>
  <c r="AI50" i="35" s="1"/>
  <c r="AC51" i="35"/>
  <c r="AD51" i="35" s="1"/>
  <c r="AH51" i="35" s="1"/>
  <c r="AI51" i="35" s="1"/>
  <c r="AC52" i="35"/>
  <c r="AD52" i="35" s="1"/>
  <c r="AH52" i="35" s="1"/>
  <c r="AI52" i="35" s="1"/>
  <c r="AC53" i="35"/>
  <c r="AD53" i="35" s="1"/>
  <c r="AH53" i="35" s="1"/>
  <c r="AI53" i="35" s="1"/>
  <c r="AC54" i="35"/>
  <c r="AD54" i="35" s="1"/>
  <c r="AH54" i="35" s="1"/>
  <c r="AI54" i="35" s="1"/>
  <c r="AC55" i="35"/>
  <c r="AD55" i="35" s="1"/>
  <c r="AH55" i="35" s="1"/>
  <c r="AI55" i="35" s="1"/>
  <c r="AC56" i="35"/>
  <c r="AD56" i="35" s="1"/>
  <c r="AC57" i="35"/>
  <c r="AD57" i="35" s="1"/>
  <c r="AC58" i="35"/>
  <c r="AD58" i="35" s="1"/>
  <c r="AH58" i="35" s="1"/>
  <c r="AI58" i="35" s="1"/>
  <c r="AC59" i="35"/>
  <c r="AD59" i="35" s="1"/>
  <c r="AH59" i="35" s="1"/>
  <c r="AI59" i="35" s="1"/>
  <c r="AC60" i="35"/>
  <c r="AD60" i="35" s="1"/>
  <c r="AH60" i="35" s="1"/>
  <c r="AI60" i="35" s="1"/>
  <c r="AC61" i="35"/>
  <c r="AD61" i="35" s="1"/>
  <c r="AH61" i="35" s="1"/>
  <c r="AI61" i="35" s="1"/>
  <c r="AC62" i="35"/>
  <c r="AD62" i="35" s="1"/>
  <c r="AH62" i="35" s="1"/>
  <c r="AI62" i="35" s="1"/>
  <c r="AC63" i="35"/>
  <c r="AD63" i="35" s="1"/>
  <c r="AH63" i="35" s="1"/>
  <c r="AI63" i="35" s="1"/>
  <c r="AC64" i="35"/>
  <c r="AD64" i="35" s="1"/>
  <c r="AC65" i="35"/>
  <c r="AD65" i="35" s="1"/>
  <c r="AC66" i="35"/>
  <c r="AD66" i="35" s="1"/>
  <c r="AH66" i="35" s="1"/>
  <c r="AI66" i="35" s="1"/>
  <c r="AC67" i="35"/>
  <c r="AD67" i="35" s="1"/>
  <c r="AH67" i="35" s="1"/>
  <c r="AI67" i="35" s="1"/>
  <c r="AC68" i="35"/>
  <c r="AD68" i="35" s="1"/>
  <c r="AH68" i="35" s="1"/>
  <c r="AI68" i="35" s="1"/>
  <c r="AC69" i="35"/>
  <c r="AD69" i="35" s="1"/>
  <c r="AH69" i="35" s="1"/>
  <c r="AI69" i="35" s="1"/>
  <c r="AC70" i="35"/>
  <c r="AD70" i="35" s="1"/>
  <c r="AH70" i="35" s="1"/>
  <c r="AI70" i="35" s="1"/>
  <c r="AC71" i="35"/>
  <c r="AD71" i="35" s="1"/>
  <c r="AH71" i="35" s="1"/>
  <c r="AI71" i="35" s="1"/>
  <c r="AC72" i="35"/>
  <c r="AD72" i="35" s="1"/>
  <c r="AC73" i="35"/>
  <c r="AD73" i="35" s="1"/>
  <c r="AC74" i="35"/>
  <c r="AD74" i="35" s="1"/>
  <c r="AH74" i="35" s="1"/>
  <c r="AI74" i="35" s="1"/>
  <c r="AC75" i="35"/>
  <c r="AD75" i="35" s="1"/>
  <c r="AH75" i="35" s="1"/>
  <c r="AI75" i="35" s="1"/>
  <c r="AC76" i="35"/>
  <c r="AD76" i="35" s="1"/>
  <c r="AH76" i="35" s="1"/>
  <c r="AI76" i="35" s="1"/>
  <c r="AC77" i="35"/>
  <c r="AD77" i="35" s="1"/>
  <c r="AH77" i="35" s="1"/>
  <c r="AI77" i="35" s="1"/>
  <c r="AC78" i="35"/>
  <c r="AD78" i="35" s="1"/>
  <c r="AH78" i="35" s="1"/>
  <c r="AI78" i="35" s="1"/>
  <c r="AC79" i="35"/>
  <c r="AD79" i="35" s="1"/>
  <c r="AH79" i="35" s="1"/>
  <c r="AI79" i="35" s="1"/>
  <c r="AD81" i="35"/>
  <c r="AC83" i="35"/>
  <c r="AD83" i="35" s="1"/>
  <c r="AD85" i="35"/>
  <c r="AH85" i="35" s="1"/>
  <c r="AI85" i="35" s="1"/>
  <c r="AC86" i="35"/>
  <c r="AD86" i="35" s="1"/>
  <c r="AH86" i="35" s="1"/>
  <c r="AI86" i="35" s="1"/>
  <c r="AC87" i="35"/>
  <c r="AD87" i="35" s="1"/>
  <c r="AH87" i="35" s="1"/>
  <c r="AI87" i="35" s="1"/>
  <c r="AC88" i="35"/>
  <c r="AD88" i="35" s="1"/>
  <c r="AC89" i="35"/>
  <c r="AD89" i="35" s="1"/>
  <c r="AH89" i="35" s="1"/>
  <c r="AI89" i="35" s="1"/>
  <c r="AC90" i="35"/>
  <c r="AD90" i="35" s="1"/>
  <c r="AH90" i="35" s="1"/>
  <c r="AI90" i="35" s="1"/>
  <c r="AC91" i="35"/>
  <c r="AD91" i="35" s="1"/>
  <c r="AC92" i="35"/>
  <c r="AD92" i="35" s="1"/>
  <c r="AH92" i="35" s="1"/>
  <c r="AI92" i="35" s="1"/>
  <c r="AC93" i="35"/>
  <c r="AD93" i="35" s="1"/>
  <c r="AH93" i="35" s="1"/>
  <c r="AI93" i="35" s="1"/>
  <c r="AC13" i="35"/>
  <c r="AD13" i="35" s="1"/>
  <c r="AC10" i="35"/>
  <c r="AD10" i="35" s="1"/>
  <c r="AH10" i="35" s="1"/>
  <c r="AI10" i="35" s="1"/>
  <c r="AC11" i="35"/>
  <c r="AD11" i="35" s="1"/>
  <c r="AH11" i="35" s="1"/>
  <c r="AI11" i="35" s="1"/>
  <c r="AC12" i="35"/>
  <c r="AD12" i="35" s="1"/>
  <c r="AH12" i="35" s="1"/>
  <c r="AI12" i="35" s="1"/>
  <c r="AC9" i="35"/>
  <c r="AD9" i="35" s="1"/>
  <c r="AH88" i="35" l="1"/>
  <c r="AI88" i="35" s="1"/>
  <c r="AH18" i="35"/>
  <c r="AI18" i="35" s="1"/>
  <c r="AH13" i="35"/>
  <c r="AI13" i="35" s="1"/>
  <c r="AH83" i="35"/>
  <c r="AI83" i="35" s="1"/>
  <c r="AH73" i="35"/>
  <c r="AI73" i="35" s="1"/>
  <c r="AH65" i="35"/>
  <c r="AI65" i="35" s="1"/>
  <c r="AH57" i="35"/>
  <c r="AI57" i="35" s="1"/>
  <c r="AH49" i="35"/>
  <c r="AI49" i="35" s="1"/>
  <c r="AH41" i="35"/>
  <c r="AI41" i="35" s="1"/>
  <c r="AH33" i="35"/>
  <c r="AI33" i="35" s="1"/>
  <c r="AH25" i="35"/>
  <c r="AI25" i="35" s="1"/>
  <c r="AH17" i="35"/>
  <c r="AI17" i="35" s="1"/>
  <c r="AH91" i="35"/>
  <c r="AI91" i="35" s="1"/>
  <c r="AH81" i="35"/>
  <c r="AI81" i="35" s="1"/>
  <c r="AH72" i="35"/>
  <c r="AI72" i="35" s="1"/>
  <c r="AH64" i="35"/>
  <c r="AI64" i="35" s="1"/>
  <c r="AH56" i="35"/>
  <c r="AI56" i="35" s="1"/>
  <c r="AH48" i="35"/>
  <c r="AI48" i="35" s="1"/>
  <c r="AH40" i="35"/>
  <c r="AI40" i="35" s="1"/>
  <c r="AH32" i="35"/>
  <c r="AI32" i="35" s="1"/>
  <c r="AH24" i="35"/>
  <c r="AI24" i="35" s="1"/>
  <c r="AH16" i="35"/>
  <c r="AI16" i="35" s="1"/>
  <c r="AH9" i="35"/>
  <c r="AI9" i="35" s="1"/>
  <c r="AH15" i="35"/>
  <c r="AI15" i="35" s="1"/>
  <c r="L35" i="42"/>
  <c r="L30" i="42"/>
  <c r="K31" i="42"/>
  <c r="K37" i="42"/>
  <c r="K36" i="42"/>
  <c r="J36" i="42"/>
  <c r="J35" i="42"/>
  <c r="J34" i="42"/>
  <c r="J33" i="42"/>
  <c r="J32" i="42"/>
  <c r="J31" i="42"/>
  <c r="J30" i="42"/>
  <c r="L31" i="42"/>
  <c r="L32" i="42"/>
  <c r="L33" i="42"/>
  <c r="L34" i="42"/>
  <c r="L36" i="42"/>
  <c r="L37" i="42"/>
  <c r="L38" i="42"/>
  <c r="L39" i="42"/>
  <c r="K32" i="42"/>
  <c r="K33" i="42"/>
  <c r="K34" i="42"/>
  <c r="K35" i="42"/>
  <c r="K38" i="42"/>
  <c r="K39" i="42"/>
  <c r="J37" i="42"/>
  <c r="J38" i="42"/>
  <c r="J39" i="42"/>
  <c r="AH66" i="42"/>
  <c r="AH67" i="42"/>
  <c r="AH68" i="42"/>
  <c r="AI66" i="42"/>
  <c r="AI67" i="42"/>
  <c r="AI68" i="42"/>
  <c r="D61" i="42"/>
  <c r="O23" i="42" l="1" a="1"/>
  <c r="O23" i="42" s="1"/>
  <c r="O22" i="42" a="1"/>
  <c r="O22" i="42" s="1"/>
  <c r="O21" i="42" a="1"/>
  <c r="O21" i="42" s="1"/>
  <c r="O20" i="42" a="1"/>
  <c r="O20" i="42" s="1"/>
  <c r="O19" i="42" a="1"/>
  <c r="O19" i="42" s="1"/>
  <c r="K30" i="42"/>
  <c r="S12" i="42" a="1"/>
  <c r="S12" i="42" s="1"/>
  <c r="S11" i="42" a="1"/>
  <c r="S11" i="42" s="1"/>
  <c r="S10" i="42" a="1"/>
  <c r="S10" i="42" s="1"/>
  <c r="S9" i="42" a="1"/>
  <c r="S9" i="42" s="1"/>
  <c r="S8" i="42" a="1"/>
  <c r="S8" i="42" s="1"/>
  <c r="O8" i="42" a="1"/>
  <c r="O8" i="42" s="1"/>
  <c r="O7" i="42" a="1"/>
  <c r="O7" i="42" s="1"/>
  <c r="O6" i="42" a="1"/>
  <c r="O6" i="42" s="1"/>
  <c r="AJ68" i="42"/>
  <c r="E34" i="42" a="1"/>
  <c r="E34" i="42" s="1"/>
  <c r="E33" i="42" a="1"/>
  <c r="E33" i="42" s="1"/>
  <c r="E32" i="42" a="1"/>
  <c r="E32" i="42" s="1"/>
  <c r="E12" i="42" a="1"/>
  <c r="E12" i="42" s="1"/>
  <c r="E11" i="42" a="1"/>
  <c r="E11" i="42" s="1"/>
  <c r="E10" i="42" a="1"/>
  <c r="E10" i="42" s="1"/>
  <c r="E9" i="42" a="1"/>
  <c r="E9" i="42" s="1"/>
  <c r="E8" i="42" a="1"/>
  <c r="E8" i="42" s="1"/>
  <c r="B94" i="35"/>
  <c r="J20" i="42"/>
  <c r="J21" i="42"/>
  <c r="J22" i="42"/>
  <c r="D22" i="42"/>
  <c r="D21" i="42"/>
  <c r="D67" i="42"/>
  <c r="D65" i="42"/>
  <c r="D63" i="42"/>
  <c r="F38" i="42"/>
  <c r="D32" i="42"/>
  <c r="D34" i="42"/>
  <c r="D33" i="42"/>
  <c r="J9" i="42"/>
  <c r="J10" i="42"/>
  <c r="J11" i="42"/>
  <c r="J12" i="42"/>
  <c r="J8" i="42"/>
  <c r="D8" i="42"/>
  <c r="D12" i="42"/>
  <c r="D9" i="42"/>
  <c r="D10" i="42"/>
  <c r="D11" i="42"/>
  <c r="AH48" i="42" l="1"/>
  <c r="AH56" i="42"/>
  <c r="AH64" i="42"/>
  <c r="AI49" i="42"/>
  <c r="AI57" i="42"/>
  <c r="AI65" i="42"/>
  <c r="AI51" i="42"/>
  <c r="AI59" i="42"/>
  <c r="AH49" i="42"/>
  <c r="AH57" i="42"/>
  <c r="AH65" i="42"/>
  <c r="AI50" i="42"/>
  <c r="AI58" i="42"/>
  <c r="AH50" i="42"/>
  <c r="AH58" i="42"/>
  <c r="AI60" i="42"/>
  <c r="AH62" i="42"/>
  <c r="AI47" i="42"/>
  <c r="AI63" i="42"/>
  <c r="AH47" i="42"/>
  <c r="AH63" i="42"/>
  <c r="AI48" i="42"/>
  <c r="AI64" i="42"/>
  <c r="AH51" i="42"/>
  <c r="AH59" i="42"/>
  <c r="AI52" i="42"/>
  <c r="AH52" i="42"/>
  <c r="AH60" i="42"/>
  <c r="AI53" i="42"/>
  <c r="AI61" i="42"/>
  <c r="AH54" i="42"/>
  <c r="AI55" i="42"/>
  <c r="AH55" i="42"/>
  <c r="AI56" i="42"/>
  <c r="AH53" i="42"/>
  <c r="AH61" i="42"/>
  <c r="AI54" i="42"/>
  <c r="AI62" i="42"/>
  <c r="AJ63" i="42"/>
  <c r="AJ55" i="42"/>
  <c r="AJ53" i="42"/>
  <c r="AJ62" i="42"/>
  <c r="AJ54" i="42"/>
  <c r="AJ61" i="42"/>
  <c r="AJ52" i="42"/>
  <c r="AJ60" i="42"/>
  <c r="AJ51" i="42"/>
  <c r="AJ67" i="42"/>
  <c r="AJ59" i="42"/>
  <c r="AJ50" i="42"/>
  <c r="AJ66" i="42"/>
  <c r="AJ58" i="42"/>
  <c r="AJ49" i="42"/>
  <c r="AJ65" i="42"/>
  <c r="AJ57" i="42"/>
  <c r="AJ48" i="42"/>
  <c r="AJ64" i="42"/>
  <c r="AJ56" i="42"/>
  <c r="AJ47" i="42"/>
  <c r="B93" i="35"/>
  <c r="B92" i="35"/>
  <c r="B91" i="35"/>
  <c r="B90" i="35"/>
  <c r="B89" i="35"/>
  <c r="B87" i="35"/>
  <c r="B86" i="35"/>
  <c r="B85" i="35"/>
  <c r="B84" i="35"/>
  <c r="B83" i="35"/>
  <c r="B82" i="35"/>
  <c r="B81" i="35"/>
  <c r="B80" i="35"/>
  <c r="B79" i="35"/>
  <c r="B78" i="35"/>
  <c r="B77" i="35"/>
  <c r="B76" i="35"/>
  <c r="B75" i="35"/>
  <c r="B74" i="35"/>
  <c r="B73" i="35"/>
  <c r="B72" i="35"/>
  <c r="B71" i="35"/>
  <c r="B70" i="35"/>
  <c r="B69" i="35"/>
  <c r="B68" i="35"/>
  <c r="B67" i="35"/>
  <c r="B66" i="35"/>
  <c r="B65" i="35"/>
  <c r="B64" i="35"/>
  <c r="B63" i="35"/>
  <c r="B62" i="35"/>
  <c r="B61" i="35"/>
  <c r="B60" i="35"/>
  <c r="B59" i="35"/>
  <c r="B58" i="35"/>
  <c r="B57" i="35"/>
  <c r="B56" i="35"/>
  <c r="B55" i="35"/>
  <c r="B54" i="35"/>
  <c r="B53" i="35"/>
  <c r="B52" i="35"/>
  <c r="B51" i="35"/>
  <c r="B50" i="35"/>
  <c r="B49" i="35"/>
  <c r="B48" i="35"/>
  <c r="B47" i="35"/>
  <c r="B46" i="35"/>
  <c r="B45" i="35"/>
  <c r="B44" i="35"/>
  <c r="B43" i="35"/>
  <c r="B42" i="35"/>
  <c r="B41" i="35"/>
  <c r="AA41" i="35" s="1"/>
  <c r="B40" i="35"/>
  <c r="AA40" i="35" s="1"/>
  <c r="B39" i="35"/>
  <c r="AA39" i="35" s="1"/>
  <c r="B38" i="35"/>
  <c r="AA38" i="35" s="1"/>
  <c r="B37" i="35"/>
  <c r="AA37" i="35" s="1"/>
  <c r="B36" i="35"/>
  <c r="AA36" i="35" s="1"/>
  <c r="B35" i="35"/>
  <c r="AA35" i="35" s="1"/>
  <c r="B34" i="35"/>
  <c r="AA34" i="35" s="1"/>
  <c r="B33" i="35"/>
  <c r="AA33" i="35" s="1"/>
  <c r="B32" i="35"/>
  <c r="AA32" i="35" s="1"/>
  <c r="B31" i="35"/>
  <c r="AA31" i="35" s="1"/>
  <c r="B30" i="35"/>
  <c r="AA30" i="35" s="1"/>
  <c r="B29" i="35"/>
  <c r="AA29" i="35" s="1"/>
  <c r="B28" i="35"/>
  <c r="AA28" i="35" s="1"/>
  <c r="B27" i="35"/>
  <c r="AA27" i="35" s="1"/>
  <c r="B26" i="35"/>
  <c r="AA26" i="35" s="1"/>
  <c r="B25" i="35"/>
  <c r="AA25" i="35" s="1"/>
  <c r="B24" i="35"/>
  <c r="AA24" i="35" s="1"/>
  <c r="B23" i="35"/>
  <c r="AA23" i="35" s="1"/>
  <c r="B22" i="35"/>
  <c r="AA22" i="35" s="1"/>
  <c r="B21" i="35"/>
  <c r="AA21" i="35" s="1"/>
  <c r="B20" i="35"/>
  <c r="AA20" i="35" s="1"/>
  <c r="B19" i="35"/>
  <c r="AA19" i="35" s="1"/>
  <c r="AA18" i="35"/>
  <c r="AA17" i="35"/>
  <c r="B16" i="35"/>
  <c r="AA16" i="35" s="1"/>
  <c r="B15" i="35"/>
  <c r="AA15" i="35" s="1"/>
  <c r="B14" i="35"/>
  <c r="AA14" i="35" s="1"/>
  <c r="B13" i="35"/>
  <c r="AA13" i="35" s="1"/>
  <c r="AA12" i="35"/>
  <c r="B11" i="35"/>
  <c r="AA11" i="35" s="1"/>
  <c r="B10" i="35"/>
  <c r="AA10" i="35" s="1"/>
  <c r="AA9" i="35"/>
  <c r="B8" i="35"/>
  <c r="AA8" i="35" s="1"/>
  <c r="B88" i="33"/>
  <c r="B87" i="33"/>
  <c r="B86" i="33"/>
  <c r="B85" i="33"/>
  <c r="B84" i="33"/>
  <c r="B83" i="33"/>
  <c r="B82" i="33"/>
  <c r="B81" i="33"/>
  <c r="B80" i="33"/>
  <c r="B79" i="33"/>
  <c r="B78" i="33"/>
  <c r="B77" i="33"/>
  <c r="B76" i="33"/>
  <c r="B75" i="33"/>
  <c r="B74" i="33"/>
  <c r="B73" i="33"/>
  <c r="B72" i="33"/>
  <c r="B71" i="33"/>
  <c r="B70" i="33"/>
  <c r="B69" i="33"/>
  <c r="B68" i="33"/>
  <c r="B67" i="33"/>
  <c r="B66" i="33"/>
  <c r="B65" i="33"/>
  <c r="B64" i="33"/>
  <c r="B63" i="33"/>
  <c r="B62" i="33"/>
  <c r="B61" i="33"/>
  <c r="B60" i="33"/>
  <c r="B59" i="33"/>
  <c r="B58" i="33"/>
  <c r="B57" i="33"/>
  <c r="B56" i="33"/>
  <c r="B55" i="33"/>
  <c r="B54" i="33"/>
  <c r="B53" i="33"/>
  <c r="B10" i="33"/>
  <c r="B9" i="33"/>
  <c r="B8" i="33"/>
  <c r="AJ46" i="42" l="1"/>
  <c r="AI46" i="42"/>
  <c r="AH46" i="42"/>
  <c r="P5" i="33"/>
  <c r="C6" i="12" l="1"/>
  <c r="A7" i="3" l="1"/>
  <c r="A7" i="4"/>
  <c r="A8" i="3"/>
  <c r="A9" i="3"/>
  <c r="A10" i="3"/>
  <c r="A11" i="3"/>
  <c r="A12" i="3"/>
  <c r="A13" i="3"/>
  <c r="A14" i="3"/>
  <c r="A15" i="3"/>
  <c r="A16" i="3"/>
  <c r="A17" i="3"/>
  <c r="A18" i="3"/>
  <c r="A19" i="3"/>
  <c r="A20" i="3"/>
  <c r="A21" i="3"/>
  <c r="A22" i="3"/>
  <c r="A23" i="3"/>
  <c r="A24" i="3"/>
  <c r="A25" i="3"/>
  <c r="A26" i="3"/>
  <c r="O4"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tc={BBEFDF8B-30A7-4319-9214-D9D2C3D4D9AA}</author>
    <author>tc={865B3E83-BD22-40BF-84E3-113A3CB31B96}</author>
    <author>tc={56A34FEA-1FDB-4213-BD76-BD1CA6BCF424}</author>
  </authors>
  <commentList>
    <comment ref="S7" authorId="0" shapeId="0" xr:uid="{BBEFDF8B-30A7-4319-9214-D9D2C3D4D9AA}">
      <text>
        <t>[Threaded comment]
Your version of Excel allows you to read this threaded comment; however, any edits to it will get removed if the file is opened in a newer version of Excel. Learn more: https://go.microsoft.com/fwlink/?linkid=870924
Comment:
    How much risk we are willing to accept</t>
      </text>
    </comment>
    <comment ref="AB7" authorId="1" shapeId="0" xr:uid="{865B3E83-BD22-40BF-84E3-113A3CB31B96}">
      <text>
        <t>[Threaded comment]
Your version of Excel allows you to read this threaded comment; however, any edits to it will get removed if the file is opened in a newer version of Excel. Learn more: https://go.microsoft.com/fwlink/?linkid=870924
Comment:
    Where the figure can be deemed to be subjective then use the guide figure provided. Where we know an actual monetary value, use that.
For projects use % of scheme budget.</t>
      </text>
    </comment>
    <comment ref="E71" authorId="2" shapeId="0" xr:uid="{56A34FEA-1FDB-4213-BD76-BD1CA6BCF424}">
      <text>
        <t>[Threaded comment]
Your version of Excel allows you to read this threaded comment; however, any edits to it will get removed if the file is opened in a newer version of Excel. Learn more: https://go.microsoft.com/fwlink/?linkid=870924
Comment:
    Current issue for lots A&amp;B. Remaining risk for overall future programme.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Withers, Siobhan</author>
  </authors>
  <commentList>
    <comment ref="F11" authorId="0" shapeId="0" xr:uid="{98899DE2-D7D8-497E-803F-2D105664A283}">
      <text>
        <r>
          <rPr>
            <b/>
            <sz val="9"/>
            <color indexed="81"/>
            <rFont val="Tahoma"/>
            <family val="2"/>
          </rPr>
          <t>Withers, Siobhan:</t>
        </r>
        <r>
          <rPr>
            <sz val="9"/>
            <color indexed="81"/>
            <rFont val="Tahoma"/>
            <family val="2"/>
          </rPr>
          <t xml:space="preserve">
Needs a little more detail, inc. description and impact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Withers, Siobhan</author>
  </authors>
  <commentList>
    <comment ref="F6" authorId="0" shapeId="0" xr:uid="{00000000-0006-0000-0400-000001000000}">
      <text>
        <r>
          <rPr>
            <b/>
            <sz val="9"/>
            <color indexed="81"/>
            <rFont val="Tahoma"/>
            <family val="2"/>
          </rPr>
          <t>Withers, Siobhan:</t>
        </r>
        <r>
          <rPr>
            <sz val="9"/>
            <color indexed="81"/>
            <rFont val="Tahoma"/>
            <family val="2"/>
          </rPr>
          <t xml:space="preserve">
This allows for situations where we know we have a critical dependency but we haven’t yet reorganised and rescheduled it to allow it to be completed in a timely manner so it doesn’t disrupt the project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qryData_Controls" description="Connection to the 'qryData_Controls' query in the workbook." type="5" refreshedVersion="6" background="1" saveData="1">
    <dbPr connection="Provider=Microsoft.Mashup.OleDb.1;Data Source=$Workbook$;Location=qryData_Controls;Extended Properties=&quot;&quot;" command="SELECT * FROM [qryData_Controls]"/>
  </connection>
  <connection id="2" xr16:uid="{00000000-0015-0000-FFFF-FFFF01000000}" keepAlive="1" name="Query - qryFilter" description="Connection to the 'qryFilter' query in the workbook." type="5" refreshedVersion="0" background="1">
    <dbPr connection="Provider=Microsoft.Mashup.OleDb.1;Data Source=$Workbook$;Location=qryFilter;Extended Properties=&quot;&quot;" command="SELECT * FROM [qryFilter]"/>
  </connection>
  <connection id="3" xr16:uid="{7D731E0D-DC40-4D71-8343-E4EADDAC771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27B6417B-F87D-43F7-887E-25CCF58C1C02}" name="WorksheetConnection_Risk_Register_version_2.xlsm!RISK_table" type="102" refreshedVersion="8" minRefreshableVersion="5">
    <extLst>
      <ext xmlns:x15="http://schemas.microsoft.com/office/spreadsheetml/2010/11/main" uri="{DE250136-89BD-433C-8126-D09CA5730AF9}">
        <x15:connection id="RISK_table">
          <x15:rangePr sourceName="_xlcn.WorksheetConnection_Risk_Register_version_2.xlsmRISK_tabl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<sst xmlns="http://schemas.openxmlformats.org/spreadsheetml/2006/main" count="5318" uniqueCount="2476">
  <si>
    <t>Risk Register</t>
  </si>
  <si>
    <t>Programme Name: Southwark Construction</t>
  </si>
  <si>
    <t>Contact: Siobhán Withers</t>
  </si>
  <si>
    <t>The impact that the risk would have if it occurred, after mitigation is applied ( 10 highest)</t>
  </si>
  <si>
    <t>The Likelihood that the risk will occur, after mitigation is applied (10 highest)</t>
  </si>
  <si>
    <t>Risk Score after mitigating actions</t>
  </si>
  <si>
    <t>Select from drop down menu – Open, Closed, Managed, Mitigated, Tolerated</t>
  </si>
  <si>
    <t>The date when the risk was closed</t>
  </si>
  <si>
    <t>Risk ref</t>
  </si>
  <si>
    <t>Programme</t>
  </si>
  <si>
    <t>Workstream</t>
  </si>
  <si>
    <t>Risk Title</t>
  </si>
  <si>
    <t>Risk Description and Impact</t>
  </si>
  <si>
    <t>Risk Owner</t>
  </si>
  <si>
    <t>Category</t>
  </si>
  <si>
    <t>RISK SCORE</t>
  </si>
  <si>
    <t>Risk controls (mitigation)</t>
  </si>
  <si>
    <t>Control Owner
(by exception)</t>
  </si>
  <si>
    <t>New RISK SCORE</t>
  </si>
  <si>
    <t>Current Status</t>
  </si>
  <si>
    <t>Closure Date</t>
  </si>
  <si>
    <t>Closure Authority</t>
  </si>
  <si>
    <t>Comments</t>
  </si>
  <si>
    <t>Overall Programme</t>
  </si>
  <si>
    <t>Procurement</t>
  </si>
  <si>
    <t>If we do not comply with PCR 2015 procurement practices at all levels of procurement, there is a risk that we expose the council to regulatory sanctions, legal challenge and financial penalties</t>
  </si>
  <si>
    <t>Stuart Davis</t>
  </si>
  <si>
    <t>Internal - Resource</t>
  </si>
  <si>
    <t xml:space="preserve"> - Oversight and guidance on procurement activity within Southwark Construction
 - Put in place procurement training across Southwark Construction
 - Set up the PMO as the first point of contact for procurement to establish a consistent approach to procurement</t>
  </si>
  <si>
    <t>SPM PMO</t>
  </si>
  <si>
    <t>Managed</t>
  </si>
  <si>
    <t>*</t>
  </si>
  <si>
    <t>Health &amp; Safety</t>
  </si>
  <si>
    <t>Lone working</t>
  </si>
  <si>
    <t>Strategic Director</t>
  </si>
  <si>
    <t>Internal - Organisaton</t>
  </si>
  <si>
    <t>Financial</t>
  </si>
  <si>
    <t>If the change of personnel in the role of Section 151 Officer leads to a change in strategic approach in the management of the council's finance and governance there is a risk that other financial commitments will be prioritised resulting in resourcing issues for the programme</t>
  </si>
  <si>
    <t>Closed</t>
  </si>
  <si>
    <t>ZD</t>
  </si>
  <si>
    <t>Resourcing</t>
  </si>
  <si>
    <t>Zoe Davies</t>
  </si>
  <si>
    <t>Mitigated</t>
  </si>
  <si>
    <t>Strategic Leads</t>
  </si>
  <si>
    <t>External - Political</t>
  </si>
  <si>
    <t>Pre 2026 Programme</t>
  </si>
  <si>
    <t>Internal - Mission</t>
  </si>
  <si>
    <t>External - Legal</t>
  </si>
  <si>
    <t>Multiple</t>
  </si>
  <si>
    <t>External - Social</t>
  </si>
  <si>
    <t>Open</t>
  </si>
  <si>
    <t>External - Economic</t>
  </si>
  <si>
    <t>SD</t>
  </si>
  <si>
    <t>External - Environmental</t>
  </si>
  <si>
    <t>David Amos</t>
  </si>
  <si>
    <t>Tolerated</t>
  </si>
  <si>
    <t>GLA</t>
  </si>
  <si>
    <t>Internal - Team</t>
  </si>
  <si>
    <t>Internal - Approach</t>
  </si>
  <si>
    <t>External - Technological</t>
  </si>
  <si>
    <t>External</t>
  </si>
  <si>
    <t>Mariola Viegas-Trimble</t>
  </si>
  <si>
    <t>Internal - Rites and rules</t>
  </si>
  <si>
    <t>Future Programme 2026+</t>
  </si>
  <si>
    <t>Future Programme Team</t>
  </si>
  <si>
    <t>Future Programme</t>
  </si>
  <si>
    <t>Political / Reputational</t>
  </si>
  <si>
    <t>Reputational</t>
  </si>
  <si>
    <t>Political</t>
  </si>
  <si>
    <t>Severe</t>
  </si>
  <si>
    <t>Major</t>
  </si>
  <si>
    <t>Risk_Ref</t>
  </si>
  <si>
    <t>PR_0026</t>
  </si>
  <si>
    <t>Select Risk reference to filter it's controls</t>
  </si>
  <si>
    <t>Control Ref</t>
  </si>
  <si>
    <t>Risk Description</t>
  </si>
  <si>
    <t>Impact - 1 to 10</t>
  </si>
  <si>
    <t xml:space="preserve">Likelihood  - 1 to 10 
</t>
  </si>
  <si>
    <t>Closure Date / Deadline</t>
  </si>
  <si>
    <t>Fixed Reference</t>
  </si>
  <si>
    <t>CTRL0049</t>
  </si>
  <si>
    <t>PR_0029</t>
  </si>
  <si>
    <t>Net Development Expenditure Higher than forecast</t>
  </si>
  <si>
    <t>Total net development costs are higher than forecast for committed schemes.  This may have been caused by delays, cost inflation, changes to regulations where costs has to be absorbed by LB Southwark</t>
  </si>
  <si>
    <t>Complete revised outurn for committed projects based on a re-appraisal of costs/income</t>
  </si>
  <si>
    <t>CTR0050</t>
  </si>
  <si>
    <t>Review development programme deliverables and timing to keep within cost envelope</t>
  </si>
  <si>
    <t>CTR0051</t>
  </si>
  <si>
    <t>Establish cost/income impact of redesigning committed schemes greater than 6 stories including delays to delivery</t>
  </si>
  <si>
    <t>CTR0052</t>
  </si>
  <si>
    <t>Assess Southwark land assets available for disposal to create additional funding for programme</t>
  </si>
  <si>
    <t>Issue Log</t>
  </si>
  <si>
    <t>Programme  reference followed by number, e.g. PR_I001</t>
  </si>
  <si>
    <t>If the issue has resulted from a risk that has been realised</t>
  </si>
  <si>
    <t>An issue has arisen…
which means that…
and the impact is…</t>
  </si>
  <si>
    <t>The senior business owner of the issue who is directly impacted by the issue</t>
  </si>
  <si>
    <t>Select from drop down menu</t>
  </si>
  <si>
    <t>Issue ref</t>
  </si>
  <si>
    <t>Issue Description and impact</t>
  </si>
  <si>
    <t>Issue Owner</t>
  </si>
  <si>
    <t>Priority</t>
  </si>
  <si>
    <t>Severity</t>
  </si>
  <si>
    <t>ISSUE SCORE</t>
  </si>
  <si>
    <t>Issue controls (mitigation) and updates</t>
  </si>
  <si>
    <t>Control Deadline</t>
  </si>
  <si>
    <t>Status</t>
  </si>
  <si>
    <t xml:space="preserve">Southwark Construction staff don't always know who to contact in the council for information </t>
  </si>
  <si>
    <t>Siobhán Withers</t>
  </si>
  <si>
    <r>
      <rPr>
        <b/>
        <sz val="11"/>
        <color rgb="FF000000"/>
        <rFont val="Arial"/>
        <family val="2"/>
      </rPr>
      <t>20Mar24: C</t>
    </r>
    <r>
      <rPr>
        <sz val="11"/>
        <color rgb="FF000000"/>
        <rFont val="Arial"/>
        <family val="2"/>
      </rPr>
      <t xml:space="preserve">losed
</t>
    </r>
    <r>
      <rPr>
        <b/>
        <sz val="11"/>
        <color rgb="FF000000"/>
        <rFont val="Arial"/>
        <family val="2"/>
      </rPr>
      <t xml:space="preserve">18Oct23: </t>
    </r>
    <r>
      <rPr>
        <sz val="11"/>
        <color rgb="FF000000"/>
        <rFont val="Arial"/>
        <family val="2"/>
      </rPr>
      <t xml:space="preserve">PMO still to publish spreadsheet but Nur is working on it.
</t>
    </r>
    <r>
      <rPr>
        <b/>
        <sz val="11"/>
        <color rgb="FF000000"/>
        <rFont val="Arial"/>
        <family val="2"/>
      </rPr>
      <t xml:space="preserve">4Jul23: </t>
    </r>
    <r>
      <rPr>
        <sz val="11"/>
        <color rgb="FF000000"/>
        <rFont val="Arial"/>
        <family val="2"/>
      </rPr>
      <t xml:space="preserve">PMO to produce a simple spreadsheet to accompany the stakeholder map.
</t>
    </r>
    <r>
      <rPr>
        <b/>
        <sz val="11"/>
        <color rgb="FF000000"/>
        <rFont val="Arial"/>
        <family val="2"/>
      </rPr>
      <t xml:space="preserve">Original: </t>
    </r>
    <r>
      <rPr>
        <sz val="11"/>
        <color rgb="FF000000"/>
        <rFont val="Arial"/>
        <family val="2"/>
      </rPr>
      <t>Internal Stakeholder map has been created and shared on the Southwark Construction Teams site.
A programme-wide directory detailing key internal contacts, that is reviewed and updated to an agreed schedule (and ad-hoc as required).</t>
    </r>
  </si>
  <si>
    <t>Ongoing</t>
  </si>
  <si>
    <t>4. Resolved</t>
  </si>
  <si>
    <t>Compliance with established procurement practices inconsistent across the team.
If we do not comply with PCR 2015 procurement practices at all levels of procurement, there is a risk that we expose the council to regulatory sanctions, legal challenge and financial penalties</t>
  </si>
  <si>
    <t>EX/SPMs</t>
  </si>
  <si>
    <r>
      <rPr>
        <b/>
        <sz val="11"/>
        <color rgb="FF000000"/>
        <rFont val="Arial"/>
        <family val="2"/>
      </rPr>
      <t>Mar25:</t>
    </r>
    <r>
      <rPr>
        <sz val="11"/>
        <color rgb="FF000000"/>
        <rFont val="Arial"/>
        <family val="2"/>
      </rPr>
      <t xml:space="preserve"> Proactis has been updated and process established across the team to ensure contracts are uploaded as they are issued.</t>
    </r>
    <r>
      <rPr>
        <b/>
        <sz val="11"/>
        <color rgb="FF000000"/>
        <rFont val="Arial"/>
        <family val="2"/>
      </rPr>
      <t xml:space="preserve">
7Aug24: </t>
    </r>
    <r>
      <rPr>
        <sz val="11"/>
        <color rgb="FF000000"/>
        <rFont val="Arial"/>
        <family val="2"/>
      </rPr>
      <t>Work ongoing to ensure Proactis up to date with all contracts in advance of October 2024.</t>
    </r>
    <r>
      <rPr>
        <b/>
        <sz val="11"/>
        <color rgb="FF000000"/>
        <rFont val="Arial"/>
        <family val="2"/>
      </rPr>
      <t xml:space="preserve">
20Mar24: I</t>
    </r>
    <r>
      <rPr>
        <sz val="11"/>
        <color rgb="FF000000"/>
        <rFont val="Arial"/>
        <family val="2"/>
      </rPr>
      <t xml:space="preserve">mproved but not there yet - training coming and new Procurement Act coming in October. Work still needed to get all contracts published on the portal as well.
</t>
    </r>
    <r>
      <rPr>
        <b/>
        <sz val="11"/>
        <color rgb="FF000000"/>
        <rFont val="Arial"/>
        <family val="2"/>
      </rPr>
      <t>4Jul23:</t>
    </r>
    <r>
      <rPr>
        <sz val="11"/>
        <color rgb="FF000000"/>
        <rFont val="Arial"/>
        <family val="2"/>
      </rPr>
      <t xml:space="preserve"> getting better, continuous training and reminders needed - PMO to ensure training is on the plan.
</t>
    </r>
    <r>
      <rPr>
        <b/>
        <sz val="11"/>
        <color rgb="FF000000"/>
        <rFont val="Arial"/>
        <family val="2"/>
      </rPr>
      <t xml:space="preserve">Original: </t>
    </r>
    <r>
      <rPr>
        <sz val="11"/>
        <color rgb="FF000000"/>
        <rFont val="Arial"/>
        <family val="2"/>
      </rPr>
      <t>Ensure procurement training is in place for all new starters / Ensure procurement is part of the training forward plan for all SC staff / Communicating best practice / Quality assurance checks undertaken by SLs/PMO</t>
    </r>
  </si>
  <si>
    <t>3. Implementing Fix</t>
  </si>
  <si>
    <t>Defects management is inconsistent leading to delays in responding to residents' concerns</t>
  </si>
  <si>
    <r>
      <rPr>
        <b/>
        <sz val="11"/>
        <color theme="1"/>
        <rFont val="Arial"/>
        <family val="2"/>
      </rPr>
      <t>4Jul23:</t>
    </r>
    <r>
      <rPr>
        <sz val="11"/>
        <color theme="1"/>
        <rFont val="Arial"/>
        <family val="2"/>
      </rPr>
      <t xml:space="preserve"> new defects process issued and in practice.
Revise and communicate the process. Set up a defects management system/module</t>
    </r>
  </si>
  <si>
    <t>Lack of consistency in application of the Employer's Requirements, including in defects</t>
  </si>
  <si>
    <r>
      <rPr>
        <b/>
        <sz val="11"/>
        <color rgb="FF000000"/>
        <rFont val="Arial"/>
        <family val="2"/>
      </rPr>
      <t>Mar25:</t>
    </r>
    <r>
      <rPr>
        <sz val="11"/>
        <color rgb="FF000000"/>
        <rFont val="Arial"/>
        <family val="2"/>
      </rPr>
      <t xml:space="preserve"> Aftercare strategy being worked on.</t>
    </r>
    <r>
      <rPr>
        <b/>
        <sz val="11"/>
        <color rgb="FF000000"/>
        <rFont val="Arial"/>
        <family val="2"/>
      </rPr>
      <t xml:space="preserve">
Jan25:</t>
    </r>
    <r>
      <rPr>
        <sz val="11"/>
        <color rgb="FF000000"/>
        <rFont val="Arial"/>
        <family val="2"/>
      </rPr>
      <t xml:space="preserve"> ERs updated. Work undertaken on handover, defects etc. to improve processes.</t>
    </r>
    <r>
      <rPr>
        <b/>
        <sz val="11"/>
        <color rgb="FF000000"/>
        <rFont val="Arial"/>
        <family val="2"/>
      </rPr>
      <t xml:space="preserve">
2Oct23:</t>
    </r>
    <r>
      <rPr>
        <sz val="11"/>
        <color rgb="FF000000"/>
        <rFont val="Arial"/>
        <family val="2"/>
      </rPr>
      <t xml:space="preserve">ER review is complete and awaiting issue.  Additional clarity has been added to the mki
</t>
    </r>
    <r>
      <rPr>
        <b/>
        <sz val="11"/>
        <color rgb="FF000000"/>
        <rFont val="Arial"/>
        <family val="2"/>
      </rPr>
      <t>4Jul23:</t>
    </r>
    <r>
      <rPr>
        <sz val="11"/>
        <color rgb="FF000000"/>
        <rFont val="Arial"/>
        <family val="2"/>
      </rPr>
      <t xml:space="preserve"> ER review underway
</t>
    </r>
    <r>
      <rPr>
        <b/>
        <sz val="11"/>
        <color rgb="FF000000"/>
        <rFont val="Arial"/>
        <family val="2"/>
      </rPr>
      <t xml:space="preserve">Original: </t>
    </r>
    <r>
      <rPr>
        <sz val="11"/>
        <color rgb="FF000000"/>
        <rFont val="Arial"/>
        <family val="2"/>
      </rPr>
      <t>Revise and communicate the suite of documents, and implement audits by the PMO</t>
    </r>
  </si>
  <si>
    <t>Lone working introduces risks to physical safety and mental wellbeing</t>
  </si>
  <si>
    <r>
      <rPr>
        <b/>
        <sz val="11"/>
        <color rgb="FF000000"/>
        <rFont val="Arial"/>
        <family val="2"/>
      </rPr>
      <t xml:space="preserve">Mar25: </t>
    </r>
    <r>
      <rPr>
        <sz val="11"/>
        <color rgb="FF000000"/>
        <rFont val="Arial"/>
        <family val="2"/>
      </rPr>
      <t>Staff are aware of the devices and the measures to take to best ensure their safety and there are ongoing discussions at team meetings. Management have put measures in place to ensure there is no lone working in some areas due to safety concerns.</t>
    </r>
    <r>
      <rPr>
        <b/>
        <sz val="11"/>
        <color rgb="FF000000"/>
        <rFont val="Arial"/>
        <family val="2"/>
      </rPr>
      <t xml:space="preserve">
Jan25: </t>
    </r>
    <r>
      <rPr>
        <sz val="11"/>
        <color rgb="FF000000"/>
        <rFont val="Arial"/>
        <family val="2"/>
      </rPr>
      <t>LW RA revised and re-issued. Use of devices still not frequent, however SLs have confirmed LW safety discussions are being had regularly in their teams.</t>
    </r>
    <r>
      <rPr>
        <b/>
        <sz val="11"/>
        <color rgb="FF000000"/>
        <rFont val="Arial"/>
        <family val="2"/>
      </rPr>
      <t xml:space="preserve">
Jul24: </t>
    </r>
    <r>
      <rPr>
        <sz val="11"/>
        <color rgb="FF000000"/>
        <rFont val="Arial"/>
        <family val="2"/>
      </rPr>
      <t>Lone working devices not yet being used. Advised that 2 officers will be using them imminently.</t>
    </r>
    <r>
      <rPr>
        <b/>
        <sz val="11"/>
        <color rgb="FF000000"/>
        <rFont val="Arial"/>
        <family val="2"/>
      </rPr>
      <t xml:space="preserve">
20Mar24: </t>
    </r>
    <r>
      <rPr>
        <sz val="11"/>
        <color rgb="FF000000"/>
        <rFont val="Arial"/>
        <family val="2"/>
      </rPr>
      <t xml:space="preserve">LW devices now available to the team. RB to provide feedback from her team on usage
</t>
    </r>
    <r>
      <rPr>
        <b/>
        <sz val="11"/>
        <color rgb="FF000000"/>
        <rFont val="Arial"/>
        <family val="2"/>
      </rPr>
      <t>19Oct23:</t>
    </r>
    <r>
      <rPr>
        <sz val="11"/>
        <color rgb="FF000000"/>
        <rFont val="Arial"/>
        <family val="2"/>
      </rPr>
      <t xml:space="preserve"> Pooled lone working devices have arrived and been allocated to the teams. Users must completed a hort e-learning session before they can use a device. PMO will monitor use and order more devices if necessary.
</t>
    </r>
    <r>
      <rPr>
        <b/>
        <sz val="11"/>
        <color rgb="FF000000"/>
        <rFont val="Arial"/>
        <family val="2"/>
      </rPr>
      <t>20/6/23:</t>
    </r>
    <r>
      <rPr>
        <sz val="11"/>
        <color rgb="FF000000"/>
        <rFont val="Arial"/>
        <family val="2"/>
      </rPr>
      <t xml:space="preserve"> Refreshed lone working assessment undertaken and recommendations to be implemented: share council lone working policy, make refreshed training sessions available and make a pool of lone working devices available
</t>
    </r>
    <r>
      <rPr>
        <b/>
        <sz val="11"/>
        <color rgb="FF000000"/>
        <rFont val="Arial"/>
        <family val="2"/>
      </rPr>
      <t>Original:</t>
    </r>
    <r>
      <rPr>
        <sz val="11"/>
        <color rgb="FF000000"/>
        <rFont val="Arial"/>
        <family val="2"/>
      </rPr>
      <t xml:space="preserve"> Communicate and apply best practice in line with the council's lone working policy. Consider further safety measures, e.g. lone working devices.  Manage issues staff encounter due to working in isolation</t>
    </r>
  </si>
  <si>
    <t>Agnieszka Lokaj</t>
  </si>
  <si>
    <t>Pamwin software needs to be adopted fully by Southwark Construction to maximise available efficiencies and management information capabilities and minimise the risk of data errors</t>
  </si>
  <si>
    <r>
      <rPr>
        <b/>
        <sz val="11"/>
        <color rgb="FF000000"/>
        <rFont val="Arial"/>
        <family val="2"/>
      </rPr>
      <t xml:space="preserve">Mar25: </t>
    </r>
    <r>
      <rPr>
        <sz val="11"/>
        <color rgb="FF000000"/>
        <rFont val="Arial"/>
        <family val="2"/>
      </rPr>
      <t>Pamwin V4 has been rolled out. Satisfaction with and adoption of the new version is being monitored by the PMO.</t>
    </r>
    <r>
      <rPr>
        <b/>
        <sz val="11"/>
        <color rgb="FF000000"/>
        <rFont val="Arial"/>
        <family val="2"/>
      </rPr>
      <t xml:space="preserve">
7Aug23: </t>
    </r>
    <r>
      <rPr>
        <sz val="11"/>
        <color rgb="FF000000"/>
        <rFont val="Arial"/>
        <family val="2"/>
      </rPr>
      <t>V4 in Test and almost ready to launch once new release is published. Pamwin contract renewal underway. 10 users now on AVD server.</t>
    </r>
    <r>
      <rPr>
        <b/>
        <sz val="11"/>
        <color rgb="FF000000"/>
        <rFont val="Arial"/>
        <family val="2"/>
      </rPr>
      <t xml:space="preserve">
20/03/24: </t>
    </r>
    <r>
      <rPr>
        <sz val="11"/>
        <color rgb="FF000000"/>
        <rFont val="Arial"/>
        <family val="2"/>
      </rPr>
      <t xml:space="preserve">Pamwin Action Group (PAG) launched on 19th March; UM- Phase 3 data verification in pipeline. 
Reconcilliations of current Pamwin variations to be relaunched; adding agreed process.
</t>
    </r>
    <r>
      <rPr>
        <b/>
        <sz val="11"/>
        <color rgb="FF000000"/>
        <rFont val="Arial"/>
        <family val="2"/>
      </rPr>
      <t xml:space="preserve">18Oct23: </t>
    </r>
    <r>
      <rPr>
        <sz val="11"/>
        <color rgb="FF000000"/>
        <rFont val="Arial"/>
        <family val="2"/>
      </rPr>
      <t xml:space="preserve">Improved but still some pieces o/s before we can say Pamwin is fully bau. Further workshops to be held on cashflow.
</t>
    </r>
    <r>
      <rPr>
        <b/>
        <sz val="11"/>
        <color rgb="FF000000"/>
        <rFont val="Arial"/>
        <family val="2"/>
      </rPr>
      <t>20/6/23:</t>
    </r>
    <r>
      <rPr>
        <sz val="11"/>
        <color rgb="FF000000"/>
        <rFont val="Arial"/>
        <family val="2"/>
      </rPr>
      <t xml:space="preserve"> Consistent updates and regular reviews of the data
</t>
    </r>
    <r>
      <rPr>
        <b/>
        <sz val="11"/>
        <color rgb="FF000000"/>
        <rFont val="Arial"/>
        <family val="2"/>
      </rPr>
      <t>Original:</t>
    </r>
    <r>
      <rPr>
        <sz val="11"/>
        <color rgb="FF000000"/>
        <rFont val="Arial"/>
        <family val="2"/>
      </rPr>
      <t xml:space="preserve"> Complete adoption plan to support full adoption in addition to the risk controls</t>
    </r>
  </si>
  <si>
    <t>Data integrity and verification</t>
  </si>
  <si>
    <t>Consistent updates and regular reviews of the data</t>
  </si>
  <si>
    <t>PMO</t>
  </si>
  <si>
    <r>
      <rPr>
        <b/>
        <sz val="11"/>
        <color rgb="FF000000"/>
        <rFont val="Arial"/>
        <family val="2"/>
      </rPr>
      <t>Mar25:</t>
    </r>
    <r>
      <rPr>
        <sz val="11"/>
        <color rgb="FF000000"/>
        <rFont val="Arial"/>
        <family val="2"/>
      </rPr>
      <t xml:space="preserve"> True Compliance implementation ongoing.</t>
    </r>
    <r>
      <rPr>
        <b/>
        <sz val="11"/>
        <color rgb="FF000000"/>
        <rFont val="Arial"/>
        <family val="2"/>
      </rPr>
      <t xml:space="preserve">
Jan25: </t>
    </r>
    <r>
      <rPr>
        <sz val="11"/>
        <color rgb="FF000000"/>
        <rFont val="Arial"/>
        <family val="2"/>
      </rPr>
      <t>Fire safety case folder created as standard in project folder structures. Apex discontinued, now moving to True Compliance - due by end of Jan.</t>
    </r>
    <r>
      <rPr>
        <b/>
        <sz val="11"/>
        <color rgb="FF000000"/>
        <rFont val="Arial"/>
        <family val="2"/>
      </rPr>
      <t xml:space="preserve">
Jul24: </t>
    </r>
    <r>
      <rPr>
        <sz val="11"/>
        <color rgb="FF000000"/>
        <rFont val="Arial"/>
        <family val="2"/>
      </rPr>
      <t>Work is underway to rectify this for a number of schemes as part of the work to prepare for the RSH inspection.</t>
    </r>
    <r>
      <rPr>
        <b/>
        <sz val="11"/>
        <color rgb="FF000000"/>
        <rFont val="Arial"/>
        <family val="2"/>
      </rPr>
      <t xml:space="preserve">
20/03/24 </t>
    </r>
    <r>
      <rPr>
        <sz val="11"/>
        <color rgb="FF000000"/>
        <rFont val="Arial"/>
        <family val="2"/>
      </rPr>
      <t xml:space="preserve">defects management training concluded in Feb
Tasks in Handover process laucning in April 24. This should improve the consistency and efficiency
</t>
    </r>
    <r>
      <rPr>
        <b/>
        <sz val="11"/>
        <color rgb="FF000000"/>
        <rFont val="Arial"/>
        <family val="2"/>
      </rPr>
      <t xml:space="preserve">18Oct23: </t>
    </r>
    <r>
      <rPr>
        <sz val="11"/>
        <color rgb="FF000000"/>
        <rFont val="Arial"/>
        <family val="2"/>
      </rPr>
      <t xml:space="preserve">Defects process rolled out, handover process review almost complete and ready to roll out.
</t>
    </r>
    <r>
      <rPr>
        <b/>
        <sz val="11"/>
        <color rgb="FF000000"/>
        <rFont val="Arial"/>
        <family val="2"/>
      </rPr>
      <t xml:space="preserve">Original: </t>
    </r>
    <r>
      <rPr>
        <sz val="11"/>
        <color rgb="FF000000"/>
        <rFont val="Arial"/>
        <family val="2"/>
      </rPr>
      <t>Reviewing the handover and defects process will identify the process in detail and identify roles that are responsible for storing and handling the data</t>
    </r>
  </si>
  <si>
    <t>Communication to the rest of the council following the restructure</t>
  </si>
  <si>
    <t>The PMO SL will set out a clear comms strategy with the SC comms officer</t>
  </si>
  <si>
    <t>Hybrid working</t>
  </si>
  <si>
    <t xml:space="preserve">Utilising new hybrid meeting software e.g. MS Teams will help connectivity, as will clearly marking your diary with your remote working days and also updating the desk tracker. </t>
  </si>
  <si>
    <t>iCasework - information not being recorded leading to delays responding to external enquiries</t>
  </si>
  <si>
    <t>The monitoring of all enquiries and iCasework will be done by the PMO so information is transparent</t>
  </si>
  <si>
    <t>Clarity on revenue budgets causing mis-coding and adds challenge to managing budgets</t>
  </si>
  <si>
    <r>
      <rPr>
        <b/>
        <sz val="11"/>
        <color theme="1"/>
        <rFont val="Arial"/>
        <family val="2"/>
      </rPr>
      <t>Jan25:</t>
    </r>
    <r>
      <rPr>
        <sz val="11"/>
        <color theme="1"/>
        <rFont val="Arial"/>
        <family val="2"/>
      </rPr>
      <t xml:space="preserve"> </t>
    </r>
    <r>
      <rPr>
        <b/>
        <sz val="11"/>
        <color theme="1"/>
        <rFont val="Arial"/>
        <family val="2"/>
      </rPr>
      <t xml:space="preserve">
20/03/2024</t>
    </r>
    <r>
      <rPr>
        <sz val="11"/>
        <color theme="1"/>
        <rFont val="Arial"/>
        <family val="2"/>
      </rPr>
      <t xml:space="preserve"> the number of the miscoded transactions has decresed. Workshop with Finance (Feb 24)
The control of the revenue budget has been brought in to the PMO who will monitor expenditure and report to finance and the team when needed</t>
    </r>
  </si>
  <si>
    <t>Website information out of date</t>
  </si>
  <si>
    <r>
      <rPr>
        <b/>
        <sz val="11"/>
        <color rgb="FF000000"/>
        <rFont val="Arial"/>
        <family val="2"/>
      </rPr>
      <t xml:space="preserve">20/03/2024 </t>
    </r>
    <r>
      <rPr>
        <sz val="11"/>
        <color rgb="FF000000"/>
        <rFont val="Arial"/>
        <family val="2"/>
      </rPr>
      <t xml:space="preserve">SA confirmed at PMO meeting that website has been updated 
</t>
    </r>
    <r>
      <rPr>
        <b/>
        <sz val="11"/>
        <color rgb="FF000000"/>
        <rFont val="Arial"/>
        <family val="2"/>
      </rPr>
      <t xml:space="preserve">5Jan24: </t>
    </r>
    <r>
      <rPr>
        <sz val="11"/>
        <color rgb="FF000000"/>
        <rFont val="Arial"/>
        <family val="2"/>
      </rPr>
      <t xml:space="preserve">Sophie Adams is conducting a review.
</t>
    </r>
    <r>
      <rPr>
        <b/>
        <sz val="11"/>
        <color rgb="FF000000"/>
        <rFont val="Arial"/>
        <family val="2"/>
      </rPr>
      <t>18Oct23:</t>
    </r>
    <r>
      <rPr>
        <sz val="11"/>
        <color rgb="FF000000"/>
        <rFont val="Arial"/>
        <family val="2"/>
      </rPr>
      <t xml:space="preserve"> Need to get log-ins for team members who don't have access.
</t>
    </r>
    <r>
      <rPr>
        <b/>
        <sz val="11"/>
        <color rgb="FF000000"/>
        <rFont val="Arial"/>
        <family val="2"/>
      </rPr>
      <t xml:space="preserve">4Jul23: </t>
    </r>
    <r>
      <rPr>
        <sz val="11"/>
        <color rgb="FF000000"/>
        <rFont val="Arial"/>
        <family val="2"/>
      </rPr>
      <t xml:space="preserve">Refresh of the website information has been completed - next step is access and training for all PMs
</t>
    </r>
    <r>
      <rPr>
        <b/>
        <sz val="11"/>
        <color rgb="FF000000"/>
        <rFont val="Arial"/>
        <family val="2"/>
      </rPr>
      <t xml:space="preserve">Original: </t>
    </r>
    <r>
      <rPr>
        <sz val="11"/>
        <color rgb="FF000000"/>
        <rFont val="Arial"/>
        <family val="2"/>
      </rPr>
      <t>Delivery team to refresh the data on the website. PMO to facilitate first refresh.</t>
    </r>
  </si>
  <si>
    <t>Q3</t>
  </si>
  <si>
    <t>Approval process needs clarifying</t>
  </si>
  <si>
    <t>PMO to review governance and approvals process</t>
  </si>
  <si>
    <t>Information, advice and guidance to leaseholders whose properties will be demolished as part of redevelopment. Currently the council are well equipped to liaise with leaseholders during the buyback negotiations but there is a need to review the process and support provided to leaseholders in the process that follows - i.e. setting out their options and taking these forward.</t>
  </si>
  <si>
    <t>Ivan Coppins</t>
  </si>
  <si>
    <t>Leaseholder Engagement</t>
  </si>
  <si>
    <t>Review supporting process</t>
  </si>
  <si>
    <t xml:space="preserve">Southwark Construction staff may not have sufficient knowledge of CDM health and safety requirements </t>
  </si>
  <si>
    <r>
      <rPr>
        <b/>
        <sz val="11"/>
        <color rgb="FF000000"/>
        <rFont val="Arial"/>
        <family val="2"/>
      </rPr>
      <t xml:space="preserve">20/03/2024 </t>
    </r>
    <r>
      <rPr>
        <sz val="11"/>
        <color rgb="FF000000"/>
        <rFont val="Arial"/>
        <family val="2"/>
      </rPr>
      <t xml:space="preserve">Training was held (Bailey Garner) additional training willl be required following new legisation
</t>
    </r>
    <r>
      <rPr>
        <b/>
        <sz val="11"/>
        <color rgb="FF000000"/>
        <rFont val="Arial"/>
        <family val="2"/>
      </rPr>
      <t>18Oct23:</t>
    </r>
    <r>
      <rPr>
        <sz val="11"/>
        <color rgb="FF000000"/>
        <rFont val="Arial"/>
        <family val="2"/>
      </rPr>
      <t xml:space="preserve"> Training happened. CDM team have presented at team meeting to outline their requirements and are available for queries.
Adding CDM consultant as a requirement in a project initiation checklist of consultants</t>
    </r>
  </si>
  <si>
    <t>Folders from Southwark Construction (New Homes) on shared G drive keep being moved from Asset Management to different subfolders. This is can cause important data loss, and disruption in officers tasks completion. Each time it happens a Hornbill ticket has to be raised for safe restoration of folders location</t>
  </si>
  <si>
    <t>Emily Xi</t>
  </si>
  <si>
    <r>
      <rPr>
        <b/>
        <sz val="11"/>
        <color rgb="FF000000"/>
        <rFont val="Arial"/>
        <family val="2"/>
      </rPr>
      <t xml:space="preserve">Jan25: </t>
    </r>
    <r>
      <rPr>
        <sz val="11"/>
        <color rgb="FF000000"/>
        <rFont val="Arial"/>
        <family val="2"/>
      </rPr>
      <t>Folders being moved to SC area this month.</t>
    </r>
    <r>
      <rPr>
        <b/>
        <sz val="11"/>
        <color rgb="FF000000"/>
        <rFont val="Arial"/>
        <family val="2"/>
      </rPr>
      <t xml:space="preserve">
20/03/2024 </t>
    </r>
    <r>
      <rPr>
        <sz val="11"/>
        <color rgb="FF000000"/>
        <rFont val="Arial"/>
        <family val="2"/>
      </rPr>
      <t xml:space="preserve">less incidents recently. Team not to add unnecessary folders
</t>
    </r>
    <r>
      <rPr>
        <b/>
        <sz val="11"/>
        <color rgb="FF000000"/>
        <rFont val="Arial"/>
        <family val="2"/>
      </rPr>
      <t>18Oct23:</t>
    </r>
    <r>
      <rPr>
        <sz val="11"/>
        <color rgb="FF000000"/>
        <rFont val="Arial"/>
        <family val="2"/>
      </rPr>
      <t xml:space="preserve"> SC folder locked, SW has provided information to Asset Management colleagues on how to request folders to be locked. SWis re-scoping the information management project.
</t>
    </r>
    <r>
      <rPr>
        <b/>
        <sz val="11"/>
        <color rgb="FF000000"/>
        <rFont val="Arial"/>
        <family val="2"/>
      </rPr>
      <t>11Sep23:</t>
    </r>
    <r>
      <rPr>
        <sz val="11"/>
        <color rgb="FF000000"/>
        <rFont val="Arial"/>
        <family val="2"/>
      </rPr>
      <t xml:space="preserve"> This has happened again. We could move the new homes folders out in their current format and into Southwark Construction as they stand but embedded links in documents will be broken - needs a conversation with teams about this
</t>
    </r>
    <r>
      <rPr>
        <b/>
        <sz val="11"/>
        <color rgb="FF000000"/>
        <rFont val="Arial"/>
        <family val="2"/>
      </rPr>
      <t>4Jul23:</t>
    </r>
    <r>
      <rPr>
        <sz val="11"/>
        <color rgb="FF000000"/>
        <rFont val="Arial"/>
        <family val="2"/>
      </rPr>
      <t xml:space="preserve"> Pending move to M365
</t>
    </r>
    <r>
      <rPr>
        <b/>
        <sz val="11"/>
        <color rgb="FF000000"/>
        <rFont val="Arial"/>
        <family val="2"/>
      </rPr>
      <t>Original:</t>
    </r>
    <r>
      <rPr>
        <sz val="11"/>
        <color rgb="FF000000"/>
        <rFont val="Arial"/>
        <family val="2"/>
      </rPr>
      <t xml:space="preserve"> Moving files to SharePoint</t>
    </r>
  </si>
  <si>
    <t>Discrepancies between cost coding and description of costs</t>
  </si>
  <si>
    <t>Ulyana Muzka</t>
  </si>
  <si>
    <r>
      <rPr>
        <b/>
        <sz val="11"/>
        <color rgb="FF000000"/>
        <rFont val="Arial"/>
        <family val="2"/>
      </rPr>
      <t xml:space="preserve">Mar25: </t>
    </r>
    <r>
      <rPr>
        <sz val="11"/>
        <color rgb="FF000000"/>
        <rFont val="Arial"/>
        <family val="2"/>
      </rPr>
      <t>Use of Pamwin codes has improved significantly and the monthly recoding exercise is less onerous than before. List of Pamwin codes to be reviewed for future programme projects.</t>
    </r>
    <r>
      <rPr>
        <b/>
        <sz val="11"/>
        <color rgb="FF000000"/>
        <rFont val="Arial"/>
        <family val="2"/>
      </rPr>
      <t xml:space="preserve"> 
20/03/2024 </t>
    </r>
    <r>
      <rPr>
        <sz val="11"/>
        <color rgb="FF000000"/>
        <rFont val="Arial"/>
        <family val="2"/>
      </rPr>
      <t xml:space="preserve">The coding has improved. The list of codes might not be sufficient. SPMs to discuss with the team what is needed and if we want more codes or not. LW and RB happy with current codes. Crib sheet might need to be issued.
</t>
    </r>
    <r>
      <rPr>
        <b/>
        <sz val="11"/>
        <color rgb="FF000000"/>
        <rFont val="Arial"/>
        <family val="2"/>
      </rPr>
      <t xml:space="preserve">18Oct23: </t>
    </r>
    <r>
      <rPr>
        <sz val="11"/>
        <color rgb="FF000000"/>
        <rFont val="Arial"/>
        <family val="2"/>
      </rPr>
      <t xml:space="preserve">Reminder to team and ensure Pamwin code list on Teams.
</t>
    </r>
    <r>
      <rPr>
        <b/>
        <sz val="11"/>
        <color rgb="FF000000"/>
        <rFont val="Arial"/>
        <family val="2"/>
      </rPr>
      <t>4Jul23:</t>
    </r>
    <r>
      <rPr>
        <sz val="11"/>
        <color rgb="FF000000"/>
        <rFont val="Arial"/>
        <family val="2"/>
      </rPr>
      <t xml:space="preserve"> close after phase 2 data verification on Pamwin
</t>
    </r>
    <r>
      <rPr>
        <b/>
        <sz val="11"/>
        <color rgb="FF000000"/>
        <rFont val="Arial"/>
        <family val="2"/>
      </rPr>
      <t xml:space="preserve">Original: </t>
    </r>
    <r>
      <rPr>
        <sz val="11"/>
        <color rgb="FF000000"/>
        <rFont val="Arial"/>
        <family val="2"/>
      </rPr>
      <t>Working with Project Managers and Senior Project Managers to review cost codes.  Purchase orders and transactions will be updated where appropriate</t>
    </r>
  </si>
  <si>
    <t>Gaps in the handover process means that system activity (Northgate) is incomplete and the transition from Southwark construction to tenancy services is inconsistent</t>
  </si>
  <si>
    <r>
      <rPr>
        <b/>
        <sz val="11"/>
        <color rgb="FF000000"/>
        <rFont val="Arial"/>
        <family val="2"/>
      </rPr>
      <t xml:space="preserve">Mar25: </t>
    </r>
    <r>
      <rPr>
        <sz val="11"/>
        <color rgb="FF000000"/>
        <rFont val="Arial"/>
        <family val="2"/>
      </rPr>
      <t>Handover process fully rolled out in 2024, however application remains patchy. Work ongoing to promote it's use and emphasise the importance of consistency.</t>
    </r>
    <r>
      <rPr>
        <b/>
        <sz val="11"/>
        <color rgb="FF000000"/>
        <rFont val="Arial"/>
        <family val="2"/>
      </rPr>
      <t xml:space="preserve">
20/03/24 </t>
    </r>
    <r>
      <rPr>
        <sz val="11"/>
        <color rgb="FF000000"/>
        <rFont val="Arial"/>
        <family val="2"/>
      </rPr>
      <t xml:space="preserve">Handover process presented on DMT on 20/03. SC will be able to use from April 2024
</t>
    </r>
    <r>
      <rPr>
        <b/>
        <sz val="11"/>
        <color rgb="FF000000"/>
        <rFont val="Arial"/>
        <family val="2"/>
      </rPr>
      <t>18Oct23: Handover process review almost complete and ready to issue to staff.
4Jul23:</t>
    </r>
    <r>
      <rPr>
        <sz val="11"/>
        <color rgb="FF000000"/>
        <rFont val="Arial"/>
        <family val="2"/>
      </rPr>
      <t xml:space="preserve"> In discussion with Tom Lau - part of handover process.
</t>
    </r>
    <r>
      <rPr>
        <b/>
        <sz val="11"/>
        <color rgb="FF000000"/>
        <rFont val="Arial"/>
        <family val="2"/>
      </rPr>
      <t xml:space="preserve">Original: </t>
    </r>
    <r>
      <rPr>
        <sz val="11"/>
        <color rgb="FF000000"/>
        <rFont val="Arial"/>
        <family val="2"/>
      </rPr>
      <t>Engaging with key internal stakeholders as part of revising the handover process to identify areas of responsibility and the most effective method to communicate</t>
    </r>
  </si>
  <si>
    <t>Contractors and consultants cannot afford the level of Collateral Warranty required by LBS</t>
  </si>
  <si>
    <t>Issue and controls managed via risk PR_0025</t>
  </si>
  <si>
    <t xml:space="preserve">Vacant possession: there are circa 100+ in-situ temporary accommodation households. (TA Phase 2).  Cost increase and/or possible contract termination due to delayed VP. The contract allows 3 months for decanting. The contract includes an inflation uplift clause. </t>
  </si>
  <si>
    <t>Osama Shoush</t>
  </si>
  <si>
    <r>
      <rPr>
        <b/>
        <sz val="11"/>
        <color theme="1"/>
        <rFont val="Arial"/>
        <family val="2"/>
      </rPr>
      <t>25June23:</t>
    </r>
    <r>
      <rPr>
        <sz val="11"/>
        <color theme="1"/>
        <rFont val="Arial"/>
        <family val="2"/>
      </rPr>
      <t xml:space="preserve"> Vacant Property Group will help to proactively manage this. PMO to provide reporting at scheme level
</t>
    </r>
    <r>
      <rPr>
        <b/>
        <sz val="11"/>
        <color theme="1"/>
        <rFont val="Arial"/>
        <family val="2"/>
      </rPr>
      <t>Original:</t>
    </r>
    <r>
      <rPr>
        <sz val="11"/>
        <color theme="1"/>
        <rFont val="Arial"/>
        <family val="2"/>
      </rPr>
      <t xml:space="preserve"> Escalated to the relevant Resident Services teams. Osama Shoush is leading on behalf of Southwark Construction as this also affects other projects.</t>
    </r>
  </si>
  <si>
    <t xml:space="preserve">Ledbury - Unknown leaseholder specifications.  Unavoidable contract variation. Also potential impact to programme and PC if a) timely decisions not received and/or b) leaseholders opt to install their own specifications. </t>
  </si>
  <si>
    <t>Hemali Topiwala</t>
  </si>
  <si>
    <r>
      <rPr>
        <b/>
        <sz val="11"/>
        <color theme="1"/>
        <rFont val="Arial"/>
        <family val="2"/>
      </rPr>
      <t xml:space="preserve">4Jul23: </t>
    </r>
    <r>
      <rPr>
        <sz val="11"/>
        <color theme="1"/>
        <rFont val="Arial"/>
        <family val="2"/>
      </rPr>
      <t xml:space="preserve">This is a project level issue and is being managed as such
</t>
    </r>
    <r>
      <rPr>
        <b/>
        <sz val="11"/>
        <color theme="1"/>
        <rFont val="Arial"/>
        <family val="2"/>
      </rPr>
      <t xml:space="preserve">Original: </t>
    </r>
    <r>
      <rPr>
        <sz val="11"/>
        <color theme="1"/>
        <rFont val="Arial"/>
        <family val="2"/>
      </rPr>
      <t>Simon Chambers to arrange access to properties to carry out assessment of each leaseholder home</t>
    </r>
  </si>
  <si>
    <t>BIM - the council will need to have to have full building asset information as part of the new fire safety regulations. BIM would also support POE. There are significant costs associated with implementing BIM infrastructure and corporately we will need to agree our approach and next steps for established BIM.</t>
  </si>
  <si>
    <t>Stuart Davies / MVT</t>
  </si>
  <si>
    <t xml:space="preserve"> - Ongoing dialogue with Building Safety to understand Southwark’s requirements in terms of the ‘golden thread’
- Benchmarking with other local authorities
- Include changes to building safety legislation into SC workforce development plan</t>
  </si>
  <si>
    <t>Costs included in tenders for things like s278 works insufficient to meet minimum Highway Agency standards.  When this materialises contractors seek to re-negotiate costs</t>
  </si>
  <si>
    <r>
      <t xml:space="preserve">Shared Ownership Leases </t>
    </r>
    <r>
      <rPr>
        <sz val="11"/>
        <rFont val="Arial"/>
        <family val="2"/>
      </rPr>
      <t>need to be approved and in place for completions in Q1. Leases need to include the fundamental clauses as per the Capital Funding Guide. The Government recommend early adoption of the updated form of lease, however this does have additional responsibilities, and potential costs, on the landlord in respect of repairs.</t>
    </r>
  </si>
  <si>
    <r>
      <rPr>
        <b/>
        <sz val="11"/>
        <color rgb="FF000000"/>
        <rFont val="Arial"/>
        <family val="2"/>
      </rPr>
      <t xml:space="preserve">20/03/2023 progress to be checked by PMO
18Oct23: </t>
    </r>
    <r>
      <rPr>
        <sz val="11"/>
        <color rgb="FF000000"/>
        <rFont val="Arial"/>
        <family val="2"/>
      </rPr>
      <t>Being picked up by Hackney Sales team.
Engaged Resident Services and external legal advice is being sought</t>
    </r>
  </si>
  <si>
    <t>Q1</t>
  </si>
  <si>
    <t>Some shared ownership leases state that leaseholders/shared owners are entitled to 2 years defects period under the terms of their lease.</t>
  </si>
  <si>
    <r>
      <rPr>
        <b/>
        <sz val="11"/>
        <color rgb="FF000000"/>
        <rFont val="Arial"/>
        <family val="2"/>
      </rPr>
      <t xml:space="preserve">Mar25: </t>
    </r>
    <r>
      <rPr>
        <sz val="11"/>
        <color rgb="FF000000"/>
        <rFont val="Arial"/>
        <family val="2"/>
      </rPr>
      <t>This can be closed once all properties being sold by corporate property have been sold. There are a few remaining.</t>
    </r>
    <r>
      <rPr>
        <b/>
        <sz val="11"/>
        <color rgb="FF000000"/>
        <rFont val="Arial"/>
        <family val="2"/>
      </rPr>
      <t xml:space="preserve">
7Aug24: </t>
    </r>
    <r>
      <rPr>
        <sz val="11"/>
        <color rgb="FF000000"/>
        <rFont val="Arial"/>
        <family val="2"/>
      </rPr>
      <t>Still an issue with properties sold by Corporate Property but improving under Hackney Sales.</t>
    </r>
    <r>
      <rPr>
        <b/>
        <sz val="11"/>
        <color rgb="FF000000"/>
        <rFont val="Arial"/>
        <family val="2"/>
      </rPr>
      <t xml:space="preserve">
20/03/2023 </t>
    </r>
    <r>
      <rPr>
        <sz val="11"/>
        <color rgb="FF000000"/>
        <rFont val="Arial"/>
        <family val="2"/>
      </rPr>
      <t xml:space="preserve">progress to be checked by PMO
</t>
    </r>
    <r>
      <rPr>
        <b/>
        <sz val="11"/>
        <color rgb="FF000000"/>
        <rFont val="Arial"/>
        <family val="2"/>
      </rPr>
      <t>18Oct23:</t>
    </r>
    <r>
      <rPr>
        <sz val="11"/>
        <color rgb="FF000000"/>
        <rFont val="Arial"/>
        <family val="2"/>
      </rPr>
      <t xml:space="preserve"> Being picked up by Hackney Sales team.
</t>
    </r>
    <r>
      <rPr>
        <b/>
        <sz val="11"/>
        <color rgb="FF000000"/>
        <rFont val="Arial"/>
        <family val="2"/>
      </rPr>
      <t>4Jul23:</t>
    </r>
    <r>
      <rPr>
        <sz val="11"/>
        <color rgb="FF000000"/>
        <rFont val="Arial"/>
        <family val="2"/>
      </rPr>
      <t xml:space="preserve"> Investigate why this has happened and do not let it happen again.</t>
    </r>
  </si>
  <si>
    <t>LABC have advised that they cannot provide insolvency cover.</t>
  </si>
  <si>
    <r>
      <t xml:space="preserve">2Oct23: </t>
    </r>
    <r>
      <rPr>
        <sz val="11"/>
        <color theme="1"/>
        <rFont val="Arial"/>
        <family val="2"/>
      </rPr>
      <t>Hemali and Nannette to advise if it can be closed, they said they would check their emails (note from fortnightly programme review).</t>
    </r>
  </si>
  <si>
    <t>TBC</t>
  </si>
  <si>
    <t>The key process is not working</t>
  </si>
  <si>
    <r>
      <rPr>
        <b/>
        <sz val="11"/>
        <color rgb="FF000000"/>
        <rFont val="Arial"/>
        <family val="2"/>
      </rPr>
      <t xml:space="preserve">Jan25: </t>
    </r>
    <r>
      <rPr>
        <sz val="11"/>
        <color rgb="FF000000"/>
        <rFont val="Arial"/>
        <family val="2"/>
      </rPr>
      <t>Key management policy incorporated into handover process</t>
    </r>
    <r>
      <rPr>
        <b/>
        <sz val="11"/>
        <color rgb="FF000000"/>
        <rFont val="Arial"/>
        <family val="2"/>
      </rPr>
      <t xml:space="preserve">
20/03/24 </t>
    </r>
    <r>
      <rPr>
        <sz val="11"/>
        <color rgb="FF000000"/>
        <rFont val="Arial"/>
        <family val="2"/>
      </rPr>
      <t xml:space="preserve">still not finished as more aspects came into it and needs to be written down. It will be a part of handover process a well
</t>
    </r>
    <r>
      <rPr>
        <b/>
        <sz val="11"/>
        <color rgb="FF000000"/>
        <rFont val="Arial"/>
        <family val="2"/>
      </rPr>
      <t>4Jul23:</t>
    </r>
    <r>
      <rPr>
        <sz val="11"/>
        <color rgb="FF000000"/>
        <rFont val="Arial"/>
        <family val="2"/>
      </rPr>
      <t xml:space="preserve"> Clarification on the process will be issued to the team - it is a council process and it will work if it is followed correctly.</t>
    </r>
  </si>
  <si>
    <t>Q2</t>
  </si>
  <si>
    <t>Resourcing pressures have been identified across the team. There remain a number of vacant posts following the 2022 restructure. Current scheme delivery requirements and corporate and grant funding requirements are placing additional demands on existing resource.</t>
  </si>
  <si>
    <r>
      <rPr>
        <b/>
        <sz val="11"/>
        <color rgb="FF000000"/>
        <rFont val="Arial"/>
        <family val="2"/>
      </rPr>
      <t xml:space="preserve">7Aug24: </t>
    </r>
    <r>
      <rPr>
        <sz val="11"/>
        <color rgb="FF000000"/>
        <rFont val="Arial"/>
        <family val="2"/>
      </rPr>
      <t>Initiatives being introduced to bolster skils across the team via floating SPM support.</t>
    </r>
    <r>
      <rPr>
        <b/>
        <sz val="11"/>
        <color rgb="FF000000"/>
        <rFont val="Arial"/>
        <family val="2"/>
      </rPr>
      <t xml:space="preserve">
20/03/2024 </t>
    </r>
    <r>
      <rPr>
        <sz val="11"/>
        <color rgb="FF000000"/>
        <rFont val="Arial"/>
        <family val="2"/>
      </rPr>
      <t xml:space="preserve">Number of positions were filled after a campaign. AB from PMO is leading on resourcing piece. 
</t>
    </r>
    <r>
      <rPr>
        <b/>
        <sz val="11"/>
        <color rgb="FF000000"/>
        <rFont val="Arial"/>
        <family val="2"/>
      </rPr>
      <t>18Jul23:</t>
    </r>
    <r>
      <rPr>
        <sz val="11"/>
        <color rgb="FF000000"/>
        <rFont val="Arial"/>
        <family val="2"/>
      </rPr>
      <t xml:space="preserve"> Recruitment campaign closed and interviews completed for Strategic Lead, Senior Programme Manager, Senior Project Manager, Project Manager and Assistant Project Manager - results pending but offers have been made and accepted for SL and SProgM.
</t>
    </r>
    <r>
      <rPr>
        <b/>
        <sz val="11"/>
        <color rgb="FF000000"/>
        <rFont val="Arial"/>
        <family val="2"/>
      </rPr>
      <t xml:space="preserve">7Jul23: </t>
    </r>
    <r>
      <rPr>
        <sz val="11"/>
        <color rgb="FF000000"/>
        <rFont val="Arial"/>
        <family val="2"/>
      </rPr>
      <t>Recruitment campaign to fill established vacant posts. Implementing the training plan following the skills survey. Regular resource review meetings monthly within the team.</t>
    </r>
  </si>
  <si>
    <t>There are not enough occupational therapists in the council to support our requirements so we have to commission external advice.</t>
  </si>
  <si>
    <t>SPMs</t>
  </si>
  <si>
    <r>
      <rPr>
        <b/>
        <sz val="11"/>
        <color rgb="FF000000"/>
        <rFont val="Arial"/>
        <family val="2"/>
      </rPr>
      <t xml:space="preserve">20/03/2024 </t>
    </r>
    <r>
      <rPr>
        <sz val="11"/>
        <color rgb="FF000000"/>
        <rFont val="Arial"/>
        <family val="2"/>
      </rPr>
      <t xml:space="preserve">Good feedback on Erdal. More post recently advertised
</t>
    </r>
    <r>
      <rPr>
        <b/>
        <sz val="11"/>
        <color rgb="FF000000"/>
        <rFont val="Arial"/>
        <family val="2"/>
      </rPr>
      <t xml:space="preserve">18Oct23: </t>
    </r>
    <r>
      <rPr>
        <sz val="11"/>
        <color rgb="FF000000"/>
        <rFont val="Arial"/>
        <family val="2"/>
      </rPr>
      <t xml:space="preserve">Erdal Askin has been appointed and allocated to SC.
</t>
    </r>
    <r>
      <rPr>
        <b/>
        <sz val="11"/>
        <color rgb="FF000000"/>
        <rFont val="Arial"/>
        <family val="2"/>
      </rPr>
      <t xml:space="preserve">20Sep23: </t>
    </r>
    <r>
      <rPr>
        <sz val="11"/>
        <color rgb="FF000000"/>
        <rFont val="Arial"/>
        <family val="2"/>
      </rPr>
      <t>new resource in place - monitor improvements.</t>
    </r>
  </si>
  <si>
    <t>The existing information on the SC forward plan lacks comprehensiveness and accuracy. The team do not provide sufficient and complete information, causing the current disparity between the SC forward plan and the actual project updates and impacting the compliance with the Council's statutory requirement.</t>
  </si>
  <si>
    <t>Strategic Leads / Siobhán Withers</t>
  </si>
  <si>
    <r>
      <rPr>
        <b/>
        <sz val="11"/>
        <color rgb="FF000000"/>
        <rFont val="Arial"/>
        <family val="2"/>
      </rPr>
      <t xml:space="preserve">7Aug24: </t>
    </r>
    <r>
      <rPr>
        <sz val="11"/>
        <color rgb="FF000000"/>
        <rFont val="Arial"/>
        <family val="2"/>
      </rPr>
      <t>Improving but more work needed. Guidance note to be issued. DC expected to return to work soon.</t>
    </r>
    <r>
      <rPr>
        <b/>
        <sz val="11"/>
        <color rgb="FF000000"/>
        <rFont val="Arial"/>
        <family val="2"/>
      </rPr>
      <t xml:space="preserve">
7Jun24:</t>
    </r>
    <r>
      <rPr>
        <sz val="11"/>
        <color rgb="FF000000"/>
        <rFont val="Arial"/>
        <family val="2"/>
      </rPr>
      <t xml:space="preserve"> Changes to processes and deadlines are being requested by and agreed with the SDoH's EA who is covering the departmental coordinator role. The SC FP is being revised to reflect this. SLs have been asked to review entries at team meetings, either weekly or monthly (tbc).</t>
    </r>
    <r>
      <rPr>
        <b/>
        <sz val="11"/>
        <color rgb="FF000000"/>
        <rFont val="Arial"/>
        <family val="2"/>
      </rPr>
      <t xml:space="preserve">
</t>
    </r>
  </si>
  <si>
    <t>Resourcing in allocations and lettings is impacting schemes that have completed, including Commerical Way</t>
  </si>
  <si>
    <t>Superceded by PI_0035</t>
  </si>
  <si>
    <t>There is a lack of knowledge of the governance and key decision process across the team (see also PI_0032)</t>
  </si>
  <si>
    <r>
      <rPr>
        <b/>
        <sz val="11"/>
        <color rgb="FF000000"/>
        <rFont val="Arial"/>
        <family val="2"/>
      </rPr>
      <t>7Jun24:</t>
    </r>
    <r>
      <rPr>
        <sz val="11"/>
        <color rgb="FF000000"/>
        <rFont val="Arial"/>
        <family val="2"/>
      </rPr>
      <t xml:space="preserve"> SW is writing a guidance note and will attend team meetings to discuss.</t>
    </r>
  </si>
  <si>
    <t>Allocations and lettings -  as a number of schemes complete this creates a bulk of vacant properties that impact workload for allocations and lettings team, this is further impacted by any additional void properties created by right-to-returners.</t>
  </si>
  <si>
    <r>
      <rPr>
        <b/>
        <sz val="11"/>
        <color rgb="FF000000"/>
        <rFont val="Arial"/>
        <family val="2"/>
      </rPr>
      <t xml:space="preserve">Mar25: </t>
    </r>
    <r>
      <rPr>
        <sz val="11"/>
        <color rgb="FF000000"/>
        <rFont val="Arial"/>
        <family val="2"/>
      </rPr>
      <t>This has improved but is still a work in progress. We are expecting a lot of completions over the next few months.</t>
    </r>
    <r>
      <rPr>
        <b/>
        <sz val="11"/>
        <color rgb="FF000000"/>
        <rFont val="Arial"/>
        <family val="2"/>
      </rPr>
      <t xml:space="preserve">
7Aug24: </t>
    </r>
    <r>
      <rPr>
        <sz val="11"/>
        <color rgb="FF000000"/>
        <rFont val="Arial"/>
        <family val="2"/>
      </rPr>
      <t>Improving with introduction of new handover process, need to fully embed.</t>
    </r>
    <r>
      <rPr>
        <b/>
        <sz val="11"/>
        <color rgb="FF000000"/>
        <rFont val="Arial"/>
        <family val="2"/>
      </rPr>
      <t xml:space="preserve">
20/03/2024 </t>
    </r>
    <r>
      <rPr>
        <sz val="11"/>
        <color rgb="FF000000"/>
        <rFont val="Arial"/>
        <family val="2"/>
      </rPr>
      <t xml:space="preserve">LMB in March 2024, then it has to go to Cabinet (date TBC). LW- what is the interim strategy. The strategy from 2015 is still in use. PMO to get back to Lettings for update. Allocation team cannot allocations because of lack of reports. </t>
    </r>
    <r>
      <rPr>
        <b/>
        <sz val="11"/>
        <color rgb="FF000000"/>
        <rFont val="Arial"/>
        <family val="2"/>
      </rPr>
      <t xml:space="preserve">PMO to check with ZD
18Oct23: </t>
    </r>
    <r>
      <rPr>
        <sz val="11"/>
        <color rgb="FF000000"/>
        <rFont val="Arial"/>
        <family val="2"/>
      </rPr>
      <t xml:space="preserve">Resident Services have been provided with a list of completions due for the next year and the PMO will ensure he receives updates as and when dates change.
</t>
    </r>
    <r>
      <rPr>
        <b/>
        <sz val="11"/>
        <color rgb="FF000000"/>
        <rFont val="Arial"/>
        <family val="2"/>
      </rPr>
      <t>2Oct23:</t>
    </r>
    <r>
      <rPr>
        <sz val="11"/>
        <color rgb="FF000000"/>
        <rFont val="Arial"/>
        <family val="2"/>
      </rPr>
      <t xml:space="preserve"> Resident Services are allocating additional resources to deal with this. The issue was also discussed at the HRA Budget Recovery Board on 28 Sep 23.
</t>
    </r>
    <r>
      <rPr>
        <b/>
        <sz val="11"/>
        <color rgb="FF000000"/>
        <rFont val="Arial"/>
        <family val="2"/>
      </rPr>
      <t>22Sep23</t>
    </r>
    <r>
      <rPr>
        <sz val="11"/>
        <color rgb="FF000000"/>
        <rFont val="Arial"/>
        <family val="2"/>
      </rPr>
      <t>: The revised handover process ensures early engagement of allocations and lettings colleagues so that they can plan for peaks in completions. A programme summary of forecast completions to be incorprated into the monthly stakeholder meetings.</t>
    </r>
  </si>
  <si>
    <r>
      <rPr>
        <sz val="11"/>
        <color rgb="FF242424"/>
        <rFont val="Arial"/>
        <family val="2"/>
      </rPr>
      <t>Local lettings a change to the local letting policy is being considered by the council which may have an impact on the allocations across the programme. Currently three projects (Wood Vale, Canada Water and</t>
    </r>
    <r>
      <rPr>
        <sz val="11"/>
        <color rgb="FF000000"/>
        <rFont val="Arial"/>
        <family val="2"/>
      </rPr>
      <t xml:space="preserve"> Manor Place</t>
    </r>
    <r>
      <rPr>
        <sz val="11"/>
        <color rgb="FF242424"/>
        <rFont val="Arial"/>
        <family val="2"/>
      </rPr>
      <t>) are awaiting clarification as to how allocations will be undertaken. A move away from a local lettings approach would be a deviation from the current agreed cabinet position and could adversely affect resident buy-in on live and future completions.</t>
    </r>
  </si>
  <si>
    <t xml:space="preserve">• The policy has been approved and the backlog is being worked through
• Clear communication plan to be established with residents </t>
  </si>
  <si>
    <t>Q4</t>
  </si>
  <si>
    <r>
      <rPr>
        <sz val="11"/>
        <color rgb="FF000000"/>
        <rFont val="Arial"/>
        <family val="2"/>
      </rPr>
      <t xml:space="preserve">Challenges with the pre-handover </t>
    </r>
    <r>
      <rPr>
        <b/>
        <sz val="11"/>
        <color rgb="FF000000"/>
        <rFont val="Arial"/>
        <family val="2"/>
      </rPr>
      <t xml:space="preserve">communal heating billing system </t>
    </r>
    <r>
      <rPr>
        <sz val="11"/>
        <color rgb="FF000000"/>
        <rFont val="Arial"/>
        <family val="2"/>
      </rPr>
      <t xml:space="preserve">set up by contractors, which currently doesn’t permit individual flat billing. A solution is needed to assign a unique analogue telephone number to each flat, enabling separate billing. </t>
    </r>
  </si>
  <si>
    <t>Resident</t>
  </si>
  <si>
    <t xml:space="preserve">• New ERs to include heating bill distribution approach
• Working with the heating service provide or contractors for a solution 
</t>
  </si>
  <si>
    <t>An increasing number of extensions of time and financial penalties are being made by contractors due to increasing inflation and labour challenges across the industry. This is contributing to project delays, increased costs, and strained contractual relationships</t>
  </si>
  <si>
    <t>• Implement a programme tracker to be monitored on a weekly basis to ensure close oversight of the situation 
• Performance monitoring of suppliers has been incorporated into monthly project monitoring with escalations to programme board where concerns are noted
• Support all staff to adopt a robust contract management approach</t>
  </si>
  <si>
    <t>A further recent change to the Local Lettings policy has been agreed which means that LLPs that had been previously drafted need to be reviewed again by Legal and signed off by Strategic Director for Housing. This has meant a change to the LLP timetable and could result in new homes taking longer to occupy.</t>
  </si>
  <si>
    <t>Information on schemes has been provided to Housing Solutions and these are being prioritised, an agreed advertisement schedule is in place.
· Clarification on the process is required and will be provided by Housing Solutions.
· Revision to Letters provided to residents regarding LLP bidding limiting choice to three properties (that meet need) to streamline allocations process. Revised report template drafted and issued.</t>
  </si>
  <si>
    <t>Lack of transparency on pooled contingency and how it should be allocated.</t>
  </si>
  <si>
    <t>Strategic Leads, SPM PMO, Finance</t>
  </si>
  <si>
    <r>
      <t>Mar25:</t>
    </r>
    <r>
      <rPr>
        <sz val="11"/>
        <color theme="1"/>
        <rFont val="Arial"/>
        <family val="2"/>
      </rPr>
      <t xml:space="preserve"> Pooled contingency process implemented.</t>
    </r>
    <r>
      <rPr>
        <b/>
        <sz val="11"/>
        <color theme="1"/>
        <rFont val="Arial"/>
        <family val="2"/>
      </rPr>
      <t xml:space="preserve">
Jan25:</t>
    </r>
    <r>
      <rPr>
        <sz val="11"/>
        <color theme="1"/>
        <rFont val="Arial"/>
        <family val="2"/>
      </rPr>
      <t xml:space="preserve"> Contingency management guidance to be issued to all project managers.</t>
    </r>
    <r>
      <rPr>
        <b/>
        <sz val="11"/>
        <color theme="1"/>
        <rFont val="Arial"/>
        <family val="2"/>
      </rPr>
      <t xml:space="preserve">
7Aug24: </t>
    </r>
    <r>
      <rPr>
        <sz val="11"/>
        <color theme="1"/>
        <rFont val="Arial"/>
        <family val="2"/>
      </rPr>
      <t>Template tracker in circulation for review.</t>
    </r>
  </si>
  <si>
    <t xml:space="preserve">It has been reported that anti-social behaviour in several new build blocks is affecting resident satisfaction. </t>
  </si>
  <si>
    <r>
      <t xml:space="preserve">Mar25: </t>
    </r>
    <r>
      <rPr>
        <sz val="11"/>
        <color rgb="FF000000"/>
        <rFont val="Arial"/>
        <family val="2"/>
      </rPr>
      <t xml:space="preserve">This is an ongoing problem in some areas and is being monitored and managed closely. </t>
    </r>
    <r>
      <rPr>
        <b/>
        <sz val="11"/>
        <color rgb="FF000000"/>
        <rFont val="Arial"/>
        <family val="2"/>
      </rPr>
      <t xml:space="preserve">
7Oct24: </t>
    </r>
    <r>
      <rPr>
        <sz val="11"/>
        <color rgb="FF000000"/>
        <rFont val="Arial"/>
        <family val="2"/>
      </rPr>
      <t>The revised sales strategy is to sell properties pre-handover to ensure early occupation</t>
    </r>
  </si>
  <si>
    <t>2. Escalated</t>
  </si>
  <si>
    <t>Southwark Construction have been identified as using two contractors that have been criticised by the Grenfell Inquiry on an ongoing basis. It is possible but as yet unknown whether there are others being employed as sub-contractors on any of our schemes.</t>
  </si>
  <si>
    <r>
      <t>16Sep24:</t>
    </r>
    <r>
      <rPr>
        <sz val="11"/>
        <color theme="1"/>
        <rFont val="Arial"/>
        <family val="2"/>
      </rPr>
      <t xml:space="preserve"> Carry out FAME checks on those known to date and continue to monitor performance where they are employed on our schemes.</t>
    </r>
  </si>
  <si>
    <t>After-sales management of defects is an issue where properties are not sold early enough to take advantage of the defects period. This means that defects in SO and PS properties have to be picked up by Repairs or at a cost to Southwark Construction.</t>
  </si>
  <si>
    <t>Service charges for communal areas in S106 purchased schemes and DA's are not being estimated clearly to resident services so they cannot budget appropriately or charge the leaseholders the correct amount. Management companies are also not communicating with the correct people in the council, i.e. resident services.</t>
  </si>
  <si>
    <t>PI_0045</t>
  </si>
  <si>
    <t>Not having FRA Pre Occupancy assessments in place is impacting handovers, delaying sales and creating void loss on some schemes</t>
  </si>
  <si>
    <t>· A review of impacted schemes  has been undertaken. 
· Due to capacity LBS Fire Safety Team cannot undertake preoccupancy FRAs so an external commission (TriFire) has made so that these are carried out for all schemes.</t>
  </si>
  <si>
    <t>Assumptions</t>
  </si>
  <si>
    <t>Last updated: N/A</t>
  </si>
  <si>
    <t>Programme reference followed by number, e.g. PR_A001</t>
  </si>
  <si>
    <t>It is assumed that…</t>
  </si>
  <si>
    <t>If the assumption is false then…</t>
  </si>
  <si>
    <t>The next actions on this assumption will be…</t>
  </si>
  <si>
    <t>Assumption ref</t>
  </si>
  <si>
    <t>Assumption Description</t>
  </si>
  <si>
    <t>Implication</t>
  </si>
  <si>
    <t>Assumption/Constraint</t>
  </si>
  <si>
    <t>Criticality</t>
  </si>
  <si>
    <t>Last updated</t>
  </si>
  <si>
    <t>Next Actions</t>
  </si>
  <si>
    <t xml:space="preserve"> Owner</t>
  </si>
  <si>
    <t>Dependencies Log</t>
  </si>
  <si>
    <t>Programme reference followed by number, e.g. PR_D001</t>
  </si>
  <si>
    <t>A full description of the dependency</t>
  </si>
  <si>
    <t>What needs to happen to ensure this dependency is managed</t>
  </si>
  <si>
    <t>Dependency ref</t>
  </si>
  <si>
    <t>Dependency Description</t>
  </si>
  <si>
    <t>Inbound/Outbound</t>
  </si>
  <si>
    <t>Priority committed?</t>
  </si>
  <si>
    <t>Deadline / critical date</t>
  </si>
  <si>
    <t>Next update</t>
  </si>
  <si>
    <t xml:space="preserve">Follow on actions </t>
  </si>
  <si>
    <t>GROSS RISK</t>
  </si>
  <si>
    <t>RESIDUAL RISK</t>
  </si>
  <si>
    <t>Issues</t>
  </si>
  <si>
    <t>Priority values</t>
  </si>
  <si>
    <t>Severity values</t>
  </si>
  <si>
    <t>Impact</t>
  </si>
  <si>
    <t>1. Immediate</t>
  </si>
  <si>
    <t>1. Critical</t>
  </si>
  <si>
    <t>2. Soon</t>
  </si>
  <si>
    <t>2. Medium</t>
  </si>
  <si>
    <t>3. Later</t>
  </si>
  <si>
    <t>3. Minor</t>
  </si>
  <si>
    <t>Likelihood</t>
  </si>
  <si>
    <t>Medium</t>
  </si>
  <si>
    <t>Minor</t>
  </si>
  <si>
    <t>Insignificant</t>
  </si>
  <si>
    <t>Rare</t>
  </si>
  <si>
    <t>Unlikely</t>
  </si>
  <si>
    <t>Possible</t>
  </si>
  <si>
    <t>Likely</t>
  </si>
  <si>
    <t>Almost Certain</t>
  </si>
  <si>
    <t>I*L</t>
  </si>
  <si>
    <t>Text</t>
  </si>
  <si>
    <t>Risk "Score"</t>
  </si>
  <si>
    <t>11</t>
  </si>
  <si>
    <t>P</t>
  </si>
  <si>
    <t>Government changes including interventions</t>
  </si>
  <si>
    <t>12</t>
  </si>
  <si>
    <t>E</t>
  </si>
  <si>
    <t>Growth, inflation and interest rates</t>
  </si>
  <si>
    <t>21</t>
  </si>
  <si>
    <t>Moderate</t>
  </si>
  <si>
    <t>S</t>
  </si>
  <si>
    <t>Population growth, change in demographics, education levels</t>
  </si>
  <si>
    <t>13</t>
  </si>
  <si>
    <t>T</t>
  </si>
  <si>
    <t>Automation and innovation in systems and equipment</t>
  </si>
  <si>
    <t>22</t>
  </si>
  <si>
    <t>L</t>
  </si>
  <si>
    <t>Laws, including those on consumer protection and employment</t>
  </si>
  <si>
    <t>31</t>
  </si>
  <si>
    <t>Weather, climate change, environmental policies</t>
  </si>
  <si>
    <t>14</t>
  </si>
  <si>
    <t>23</t>
  </si>
  <si>
    <t>M</t>
  </si>
  <si>
    <t>The plan devised to achieve the vision and goals</t>
  </si>
  <si>
    <t>32</t>
  </si>
  <si>
    <t>O</t>
  </si>
  <si>
    <t>The way the organisation is structured</t>
  </si>
  <si>
    <t>41</t>
  </si>
  <si>
    <t>R</t>
  </si>
  <si>
    <t>The procedures and systems that staff use to get the job done</t>
  </si>
  <si>
    <t>15</t>
  </si>
  <si>
    <t>The roles, capabilities, skills and competencies</t>
  </si>
  <si>
    <t>24</t>
  </si>
  <si>
    <t>A</t>
  </si>
  <si>
    <t>Style of leadership</t>
  </si>
  <si>
    <t>33</t>
  </si>
  <si>
    <t>Core values, internal culture and behaviour</t>
  </si>
  <si>
    <t>42</t>
  </si>
  <si>
    <t>51</t>
  </si>
  <si>
    <t>Score</t>
  </si>
  <si>
    <t>Range</t>
  </si>
  <si>
    <t>‘Life and Limb’</t>
  </si>
  <si>
    <t>Customer Service</t>
  </si>
  <si>
    <t>Staffing &amp; Culture</t>
  </si>
  <si>
    <t>Compliance with regulations/Law</t>
  </si>
  <si>
    <t>Reputation</t>
  </si>
  <si>
    <t xml:space="preserve">Financial </t>
  </si>
  <si>
    <t>Example description</t>
  </si>
  <si>
    <t>25</t>
  </si>
  <si>
    <t>Loss of life due to injury or illness</t>
  </si>
  <si>
    <t xml:space="preserve">Severe, prolonged impact on delivery and business continuity, e.g. decanting residents due to structural issues </t>
  </si>
  <si>
    <t>Severe impact on employee motivation leading to prolonged dissatisfaction and high staff turnover impacting on service provision</t>
  </si>
  <si>
    <t>Major breach leading to suspension / discontinuance of business or outsourcing/ privatisation / criminal negligence</t>
  </si>
  <si>
    <t>External reputation irrevocably damaged</t>
  </si>
  <si>
    <t>Over £100M
OR
above 30% of scheme costs</t>
  </si>
  <si>
    <t>Almost certain</t>
  </si>
  <si>
    <t>The risk is imminent</t>
  </si>
  <si>
    <t>34</t>
  </si>
  <si>
    <t>Serious injury or illness resulting in long-term impairment e.g. pandemic or asbestos related</t>
  </si>
  <si>
    <t>Serious disruption to delivery and business continuity, e.g.  contractor going out of business</t>
  </si>
  <si>
    <t>Significant impact on employee motivation resulting some staff leaving and poor quality service delivery</t>
  </si>
  <si>
    <t>Serious breach causing intervention, sanctions and legal action</t>
  </si>
  <si>
    <t>External reputation seriously damaged with considerable effort and expense required to redeem</t>
  </si>
  <si>
    <t>£10M-£100M
OR
up to 30% of scheme costs</t>
  </si>
  <si>
    <t>The risk is very likely to occur</t>
  </si>
  <si>
    <t>43</t>
  </si>
  <si>
    <t>Significant injury or illness with no long-term effects</t>
  </si>
  <si>
    <t>Medium term disruption to delivery and business continuity</t>
  </si>
  <si>
    <t>Moderate impact on employee motivation resulting in intermittent impacts to service delivery</t>
  </si>
  <si>
    <t>Significant impact leading to warning of threat of sanctions or legal action</t>
  </si>
  <si>
    <t>Reputation seriously damaged with some effort and expense required to redeem</t>
  </si>
  <si>
    <t>£1M-£10M
OR
up to 10% of scheme costs</t>
  </si>
  <si>
    <t>The risk may occur but it's difficult to know</t>
  </si>
  <si>
    <t>52</t>
  </si>
  <si>
    <t>Moderate, non-life-threatening injury or illness</t>
  </si>
  <si>
    <t>Moderate impact on delivery and business continuity</t>
  </si>
  <si>
    <t>Affects the motivation of small groups of staff</t>
  </si>
  <si>
    <t>Moderate impact due to non-compliance leading to reprimand</t>
  </si>
  <si>
    <t>Reputation minimally affected with little effort and expense required to redeem</t>
  </si>
  <si>
    <t>£100K-£1M
OR
up to 5% of scheme costs</t>
  </si>
  <si>
    <t>The risk is unlikely but possible</t>
  </si>
  <si>
    <t>35</t>
  </si>
  <si>
    <t>Minor superficial injury or illness</t>
  </si>
  <si>
    <t>Minor impact on delivery and business continuity</t>
  </si>
  <si>
    <t>Temporary impact on the motivation of individuals</t>
  </si>
  <si>
    <t>Minor impact with no reprimand, sanction or legal action</t>
  </si>
  <si>
    <t>Reputation unaffected with no effort and expense required to redeem</t>
  </si>
  <si>
    <t>Up to £100K
OR
within scheme contingency</t>
  </si>
  <si>
    <t>The risk is unlikely but not ruled out</t>
  </si>
  <si>
    <t>44</t>
  </si>
  <si>
    <t>53</t>
  </si>
  <si>
    <t>45</t>
  </si>
  <si>
    <t>54</t>
  </si>
  <si>
    <t>55</t>
  </si>
  <si>
    <t>Risk data</t>
  </si>
  <si>
    <t>Control Owner</t>
  </si>
  <si>
    <t xml:space="preserve">Programme </t>
  </si>
  <si>
    <t>Low</t>
  </si>
  <si>
    <t>Yes</t>
  </si>
  <si>
    <t>High</t>
  </si>
  <si>
    <t>Critical</t>
  </si>
  <si>
    <t>Project reference followed by number, e.g. PR_O001</t>
  </si>
  <si>
    <t>Opportunity Ref</t>
  </si>
  <si>
    <t>Opportunity Description</t>
  </si>
  <si>
    <t>Workstream  Category</t>
  </si>
  <si>
    <t>00</t>
  </si>
  <si>
    <r>
      <t>Priority</t>
    </r>
    <r>
      <rPr>
        <b/>
        <sz val="10"/>
        <color theme="0"/>
        <rFont val="Arial"/>
        <family val="2"/>
      </rPr>
      <t xml:space="preserve"> 
values</t>
    </r>
  </si>
  <si>
    <t>Value Description</t>
  </si>
  <si>
    <r>
      <t>Severity</t>
    </r>
    <r>
      <rPr>
        <b/>
        <sz val="10"/>
        <color theme="0"/>
        <rFont val="Arial"/>
        <family val="2"/>
      </rPr>
      <t xml:space="preserve"> 
values</t>
    </r>
  </si>
  <si>
    <r>
      <t>Status</t>
    </r>
    <r>
      <rPr>
        <b/>
        <sz val="10"/>
        <color theme="0"/>
        <rFont val="Arial"/>
        <family val="2"/>
      </rPr>
      <t xml:space="preserve"> 
values</t>
    </r>
  </si>
  <si>
    <r>
      <t xml:space="preserve">The issue requires action as soon as possible. The issue </t>
    </r>
    <r>
      <rPr>
        <u/>
        <sz val="8"/>
        <rFont val="Arial"/>
        <family val="2"/>
      </rPr>
      <t>will</t>
    </r>
    <r>
      <rPr>
        <sz val="8"/>
        <rFont val="Arial"/>
        <family val="2"/>
      </rPr>
      <t xml:space="preserve"> effect activities on the project's critical path.</t>
    </r>
  </si>
  <si>
    <t>This issue will have a high impact on the success of the project and is likely to stop it proceeding. Unacceptable effects will be experienced by the business / end users.</t>
  </si>
  <si>
    <t>1. Investigating</t>
  </si>
  <si>
    <t>The issue is under investigation in order to determine its full extent, what possible solution/s may be applied, and whether it needs to be escalated.</t>
  </si>
  <si>
    <r>
      <t xml:space="preserve">The issue may be delayed slightly while "Immediate" issues are being addressed. The issue </t>
    </r>
    <r>
      <rPr>
        <u/>
        <sz val="8"/>
        <rFont val="Arial"/>
        <family val="2"/>
      </rPr>
      <t>may</t>
    </r>
    <r>
      <rPr>
        <sz val="8"/>
        <rFont val="Arial"/>
        <family val="2"/>
      </rPr>
      <t xml:space="preserve"> effect activities on the project's critical path.</t>
    </r>
  </si>
  <si>
    <t>This issue will have a noticable impact on the success of the project. Effects will be detrimental however the business / end users may continue.</t>
  </si>
  <si>
    <t>If required, the issue has been escalated to the project sponsor and/or steering committee. Direction and/or approval of the solution is required.</t>
  </si>
  <si>
    <r>
      <t xml:space="preserve">The issue may be delayed while "Soon" issues are being addressed. The issue </t>
    </r>
    <r>
      <rPr>
        <u/>
        <sz val="8"/>
        <rFont val="Arial"/>
        <family val="2"/>
      </rPr>
      <t>does not</t>
    </r>
    <r>
      <rPr>
        <sz val="8"/>
        <rFont val="Arial"/>
        <family val="2"/>
      </rPr>
      <t xml:space="preserve"> effect activities on the project's critical path.</t>
    </r>
  </si>
  <si>
    <t>This issue will have a low impact on the success of the project. Effects may be dealt with as they occur, and the business / end users may continue.</t>
  </si>
  <si>
    <t>The solution to the issue has been found, and is in the process of being implemented.</t>
  </si>
  <si>
    <t>Resolved</t>
  </si>
  <si>
    <t>The solution to the issue has been implemented, and is resolved.</t>
  </si>
  <si>
    <t>5. Unassigned</t>
  </si>
  <si>
    <r>
      <t>Apr25:</t>
    </r>
    <r>
      <rPr>
        <sz val="11"/>
        <color rgb="FF000000"/>
        <rFont val="Arial"/>
        <family val="2"/>
      </rPr>
      <t xml:space="preserve"> We are still seeing complaints coming in around this issue.</t>
    </r>
    <r>
      <rPr>
        <b/>
        <sz val="11"/>
        <color rgb="FF000000"/>
        <rFont val="Arial"/>
        <family val="2"/>
      </rPr>
      <t xml:space="preserve">
7Oct24:</t>
    </r>
    <r>
      <rPr>
        <sz val="11"/>
        <color rgb="FF000000"/>
        <rFont val="Arial"/>
        <family val="2"/>
      </rPr>
      <t xml:space="preserve">  Work with resident services to ensure we know their requirements prior to handover. Involve Corporate Property early to get information on service charges as they have the initial relationship with the developers in S106 purchases.</t>
    </r>
  </si>
  <si>
    <t>Risk Score</t>
  </si>
  <si>
    <t>&lt;5%</t>
  </si>
  <si>
    <t>&lt;1%</t>
  </si>
  <si>
    <t>Green</t>
  </si>
  <si>
    <t>Low Risk</t>
  </si>
  <si>
    <t>Moderate Risk</t>
  </si>
  <si>
    <t>High Risk</t>
  </si>
  <si>
    <t>Red</t>
  </si>
  <si>
    <t>Southwark Construction Programme Risk Management Framework</t>
  </si>
  <si>
    <t>Based on Actual Risk Register Data</t>
  </si>
  <si>
    <t>Programme Objectives (Aligned with Risk Register)</t>
  </si>
  <si>
    <t>Primary Objective</t>
  </si>
  <si>
    <t>Deliver the Southwark Construction Programme on time, within budget, and to the highest safety standards while managing identified risks and maintaining stakeholder confidence.</t>
  </si>
  <si>
    <t>Strategic Objectives by Risk Category</t>
  </si>
  <si>
    <t>Maintain programme delivery within HRA financing parameters and rental income projections</t>
  </si>
  <si>
    <t>Minimize void periods and maximize rental income from new properties</t>
  </si>
  <si>
    <t>Ensure programme viability despite external financial pressures</t>
  </si>
  <si>
    <t>Maintain full PCR 2015 compliance across all procurement activities</t>
  </si>
  <si>
    <t>Avoid regulatory sanctions, legal challenges, and financial penalties</t>
  </si>
  <si>
    <t>Establish consistent procurement approaches through PMO oversight</t>
  </si>
  <si>
    <t>Eliminate lone working incidents and personal safety risks</t>
  </si>
  <si>
    <t>Maintain robust safety protocols especially in high-risk areas (e.g., Aylesbury Estate)</t>
  </si>
  <si>
    <t>Ensure staff welfare and prevent injury-related resource impacts</t>
  </si>
  <si>
    <t>Maintain data integrity across all scheme reporting</t>
  </si>
  <si>
    <t>Ensure accurate information flow to internal and external stakeholders</t>
  </si>
  <si>
    <t>Support effective cost flow and resource management</t>
  </si>
  <si>
    <t>Address recruitment and retention challenges to maintain delivery capability</t>
  </si>
  <si>
    <t>Prevent capability gaps that increase pressure on remaining staff</t>
  </si>
  <si>
    <t>Ensure adequate staff capacity meets programme demands</t>
  </si>
  <si>
    <t>Top 5 Programme KPIs (Derived from Risk Register)</t>
  </si>
  <si>
    <r>
      <t>1. Risk-Adjusted Programme Delivery</t>
    </r>
    <r>
      <rPr>
        <sz val="10"/>
        <rFont val="Arial"/>
        <family val="2"/>
      </rPr>
      <t xml:space="preserve"> - Percentage of programme delivered considering risk impact (Target: &gt;90%)</t>
    </r>
  </si>
  <si>
    <r>
      <t>2. Expected Annual Loss Ratio</t>
    </r>
    <r>
      <rPr>
        <sz val="10"/>
        <rFont val="Arial"/>
        <family val="2"/>
      </rPr>
      <t xml:space="preserve"> - Total expected programme loss vs. programme value (Target: &lt;2%)</t>
    </r>
  </si>
  <si>
    <r>
      <t>3. Risk Score Reduction</t>
    </r>
    <r>
      <rPr>
        <sz val="10"/>
        <rFont val="Arial"/>
        <family val="2"/>
      </rPr>
      <t xml:space="preserve"> - Percentage reduction in overall risk scores through mitigation (Target: &gt;30%)</t>
    </r>
  </si>
  <si>
    <r>
      <t>4. Critical Risk Management</t>
    </r>
    <r>
      <rPr>
        <sz val="10"/>
        <rFont val="Arial"/>
        <family val="2"/>
      </rPr>
      <t xml:space="preserve"> - Percentage of severe/major risks with effective controls (Target: 100%)</t>
    </r>
  </si>
  <si>
    <r>
      <t>5. Regulatory Compliance Rate</t>
    </r>
    <r>
      <rPr>
        <sz val="10"/>
        <rFont val="Arial"/>
        <family val="2"/>
      </rPr>
      <t xml:space="preserve"> - Compliance with PCR 2015 and safety regulations (Target: 100%)</t>
    </r>
  </si>
  <si>
    <t>KRI Calculations Based on Risk Register Data</t>
  </si>
  <si>
    <t>Financial KRIs</t>
  </si>
  <si>
    <r>
      <t>Void Risk Exposure</t>
    </r>
    <r>
      <rPr>
        <sz val="10"/>
        <rFont val="Arial"/>
        <family val="2"/>
      </rPr>
      <t xml:space="preserve"> = (Expected void loss £12.5M / Programme value £500M) × 100% = </t>
    </r>
    <r>
      <rPr>
        <b/>
        <sz val="10"/>
        <rFont val="Arial"/>
        <family val="2"/>
      </rPr>
      <t>2.5%</t>
    </r>
  </si>
  <si>
    <r>
      <t>Financial Risk Concentration</t>
    </r>
    <r>
      <rPr>
        <sz val="10"/>
        <rFont val="Arial"/>
        <family val="2"/>
      </rPr>
      <t xml:space="preserve"> = Sum of all financial expected losses / Total programme value</t>
    </r>
  </si>
  <si>
    <t>Procurement KRIs</t>
  </si>
  <si>
    <r>
      <t>PCR 2015 Compliance Risk</t>
    </r>
    <r>
      <rPr>
        <sz val="10"/>
        <rFont val="Arial"/>
        <family val="2"/>
      </rPr>
      <t xml:space="preserve"> = Current risk score for PR_-0005 = </t>
    </r>
    <r>
      <rPr>
        <b/>
        <sz val="10"/>
        <rFont val="Arial"/>
        <family val="2"/>
      </rPr>
      <t>4 (Moderate)</t>
    </r>
  </si>
  <si>
    <r>
      <t>Procurement Risk Materiality</t>
    </r>
    <r>
      <rPr>
        <sz val="10"/>
        <rFont val="Arial"/>
        <family val="2"/>
      </rPr>
      <t xml:space="preserve"> = Expected loss £10M / Programme value = </t>
    </r>
    <r>
      <rPr>
        <b/>
        <sz val="10"/>
        <rFont val="Arial"/>
        <family val="2"/>
      </rPr>
      <t>2%</t>
    </r>
  </si>
  <si>
    <t>Health &amp; Safety KRIs</t>
  </si>
  <si>
    <r>
      <t>Lone Working Risk Score</t>
    </r>
    <r>
      <rPr>
        <sz val="10"/>
        <rFont val="Arial"/>
        <family val="2"/>
      </rPr>
      <t xml:space="preserve"> = Current risk score for PR_-0004 = </t>
    </r>
    <r>
      <rPr>
        <b/>
        <sz val="10"/>
        <rFont val="Arial"/>
        <family val="2"/>
      </rPr>
      <t>12 (Major)</t>
    </r>
  </si>
  <si>
    <r>
      <t>Safety Risk Frequency</t>
    </r>
    <r>
      <rPr>
        <sz val="10"/>
        <rFont val="Arial"/>
        <family val="2"/>
      </rPr>
      <t xml:space="preserve"> = Expected incidents per year = </t>
    </r>
    <r>
      <rPr>
        <b/>
        <sz val="10"/>
        <rFont val="Arial"/>
        <family val="2"/>
      </rPr>
      <t>0.5</t>
    </r>
  </si>
  <si>
    <t>Programme KRIs</t>
  </si>
  <si>
    <r>
      <t>Data Integrity Risk Score</t>
    </r>
    <r>
      <rPr>
        <sz val="10"/>
        <rFont val="Arial"/>
        <family val="2"/>
      </rPr>
      <t xml:space="preserve"> = Current risk score for PR_0000 = </t>
    </r>
    <r>
      <rPr>
        <b/>
        <sz val="10"/>
        <rFont val="Arial"/>
        <family val="2"/>
      </rPr>
      <t>3 (Minor)</t>
    </r>
  </si>
  <si>
    <r>
      <t>Programme Information Risk</t>
    </r>
    <r>
      <rPr>
        <sz val="10"/>
        <rFont val="Arial"/>
        <family val="2"/>
      </rPr>
      <t xml:space="preserve"> = Impact on stakeholder confidence and management capability</t>
    </r>
  </si>
  <si>
    <r>
      <t>Recruitment Risk Score</t>
    </r>
    <r>
      <rPr>
        <sz val="10"/>
        <rFont val="Arial"/>
        <family val="2"/>
      </rPr>
      <t xml:space="preserve"> = Current risk score for PR_-0001 = </t>
    </r>
    <r>
      <rPr>
        <b/>
        <sz val="10"/>
        <rFont val="Arial"/>
        <family val="2"/>
      </rPr>
      <t>4 (Minor)</t>
    </r>
  </si>
  <si>
    <r>
      <t>Capacity Risk Impact</t>
    </r>
    <r>
      <rPr>
        <sz val="10"/>
        <rFont val="Arial"/>
        <family val="2"/>
      </rPr>
      <t xml:space="preserve"> = Expected cost of resource gaps / Programme value</t>
    </r>
  </si>
  <si>
    <t>Risk Appetite Framework</t>
  </si>
  <si>
    <t>Risk Category</t>
  </si>
  <si>
    <t>Appetite Level</t>
  </si>
  <si>
    <t>Rationale</t>
  </si>
  <si>
    <t>Threshold Based on Register</t>
  </si>
  <si>
    <t>LOW</t>
  </si>
  <si>
    <t>HRA viability critical</t>
  </si>
  <si>
    <t>Risk scores &gt;15 require immediate action</t>
  </si>
  <si>
    <t>ZERO</t>
  </si>
  <si>
    <t>Regulatory compliance mandatory</t>
  </si>
  <si>
    <t>Any PCR 2015 breaches unacceptable</t>
  </si>
  <si>
    <t>Staff safety non-negotiable</t>
  </si>
  <si>
    <t>Risk scores &gt;12 require immediate action</t>
  </si>
  <si>
    <t>MODERATE</t>
  </si>
  <si>
    <t>Quality over speed</t>
  </si>
  <si>
    <t>Risk scores &lt;9 acceptable</t>
  </si>
  <si>
    <t>Balanced resource optimization</t>
  </si>
  <si>
    <t>KRI Monitoring Dashboard</t>
  </si>
  <si>
    <t>KRI Name</t>
  </si>
  <si>
    <t>Risk Appetite</t>
  </si>
  <si>
    <t>Current Value</t>
  </si>
  <si>
    <t>Green Threshold</t>
  </si>
  <si>
    <t>Amber Threshold</t>
  </si>
  <si>
    <t>Red Threshold</t>
  </si>
  <si>
    <t>Trend</t>
  </si>
  <si>
    <t>Owner</t>
  </si>
  <si>
    <t>Action Required</t>
  </si>
  <si>
    <t>Void Risk Exposure</t>
  </si>
  <si>
    <t>1-3%</t>
  </si>
  <si>
    <t>&gt;3%</t>
  </si>
  <si>
    <t>Amber</t>
  </si>
  <si>
    <t>Stable</t>
  </si>
  <si>
    <t>Enhanced handover process</t>
  </si>
  <si>
    <t>Expected Annual Loss</t>
  </si>
  <si>
    <t>£25M</t>
  </si>
  <si>
    <t>&lt;£10M</t>
  </si>
  <si>
    <t>£10-20M</t>
  </si>
  <si>
    <t>&gt;£20M</t>
  </si>
  <si>
    <t>Immediate risk review</t>
  </si>
  <si>
    <t>PCR 2015 Risk Score</t>
  </si>
  <si>
    <t>&gt;6</t>
  </si>
  <si>
    <t>Improving</t>
  </si>
  <si>
    <t>Continue training programme</t>
  </si>
  <si>
    <t>Compliance Exposure</t>
  </si>
  <si>
    <t>&lt;0.5%</t>
  </si>
  <si>
    <t>0.5-1%</t>
  </si>
  <si>
    <t>&gt;1%</t>
  </si>
  <si>
    <t>Strengthen oversight</t>
  </si>
  <si>
    <t>Lone Working Risk Score</t>
  </si>
  <si>
    <t>&gt;12</t>
  </si>
  <si>
    <t>Maintain enhanced measures</t>
  </si>
  <si>
    <t>Safety Incident Frequency</t>
  </si>
  <si>
    <t>0.5/year</t>
  </si>
  <si>
    <t>0.1-0.3</t>
  </si>
  <si>
    <t>&gt;0.3</t>
  </si>
  <si>
    <t>Review safety protocols</t>
  </si>
  <si>
    <t>Data Integrity Risk Score</t>
  </si>
  <si>
    <t>Continue validation</t>
  </si>
  <si>
    <t>Information Quality Index</t>
  </si>
  <si>
    <t>&gt;90%</t>
  </si>
  <si>
    <t>80-90%</t>
  </si>
  <si>
    <t>&lt;80%</t>
  </si>
  <si>
    <t>Data training ongoing</t>
  </si>
  <si>
    <t>Recruitment Risk Score</t>
  </si>
  <si>
    <t>Monitor retention initiatives</t>
  </si>
  <si>
    <t>Capacity Risk Impact</t>
  </si>
  <si>
    <t>£10M</t>
  </si>
  <si>
    <t>&lt;£5M</t>
  </si>
  <si>
    <t>£5-15M</t>
  </si>
  <si>
    <t>&gt;£15M</t>
  </si>
  <si>
    <t>Continue recruitment</t>
  </si>
  <si>
    <t>KPI-KRI Alignment Dashboard</t>
  </si>
  <si>
    <t>KPI</t>
  </si>
  <si>
    <t>Related KRIs</t>
  </si>
  <si>
    <t>Current Performance</t>
  </si>
  <si>
    <t>Action</t>
  </si>
  <si>
    <t>Risk-Adjusted Programme Delivery</t>
  </si>
  <si>
    <t>All risk scores, expected losses</t>
  </si>
  <si>
    <t>To be calculated</t>
  </si>
  <si>
    <r>
      <t xml:space="preserve">🟡 </t>
    </r>
    <r>
      <rPr>
        <b/>
        <sz val="10"/>
        <rFont val="Arial"/>
        <family val="2"/>
      </rPr>
      <t>Watch</t>
    </r>
  </si>
  <si>
    <t>Monitor all red KRIs</t>
  </si>
  <si>
    <t>Expected Annual Loss Ratio (5%)</t>
  </si>
  <si>
    <t>Void Risk (2.5%), PCR Risk (2%), Other risks</t>
  </si>
  <si>
    <t>£25M / £500M = 5%</t>
  </si>
  <si>
    <r>
      <t xml:space="preserve">🔴 </t>
    </r>
    <r>
      <rPr>
        <b/>
        <sz val="10"/>
        <rFont val="Arial"/>
        <family val="2"/>
      </rPr>
      <t>Critical</t>
    </r>
  </si>
  <si>
    <t>Immediate risk mitigation</t>
  </si>
  <si>
    <t>Risk Score Reduction</t>
  </si>
  <si>
    <t>All current vs initial risk scores</t>
  </si>
  <si>
    <t>PR_-0001: 8→4 (50% reduction)</t>
  </si>
  <si>
    <r>
      <t xml:space="preserve">🟢 </t>
    </r>
    <r>
      <rPr>
        <b/>
        <sz val="10"/>
        <rFont val="Arial"/>
        <family val="2"/>
      </rPr>
      <t>On Track</t>
    </r>
  </si>
  <si>
    <t>Continue mitigation</t>
  </si>
  <si>
    <t>Critical Risk Management (60%)</t>
  </si>
  <si>
    <t>Major/Severe risks with controls</t>
  </si>
  <si>
    <t>3 of 5 major+ risks managed</t>
  </si>
  <si>
    <r>
      <t xml:space="preserve">🟡 </t>
    </r>
    <r>
      <rPr>
        <b/>
        <sz val="10"/>
        <rFont val="Arial"/>
        <family val="2"/>
      </rPr>
      <t>Review</t>
    </r>
  </si>
  <si>
    <t>Enhance void property controls</t>
  </si>
  <si>
    <t>Regulatory Compliance Rate</t>
  </si>
  <si>
    <t>PCR 2015, Safety compliance</t>
  </si>
  <si>
    <t>Currently at risk</t>
  </si>
  <si>
    <t>Strengthen compliance</t>
  </si>
  <si>
    <t>KRI &amp; KPI Calculation Reference</t>
  </si>
  <si>
    <t>KRI (Key Risk Indicators) Current Dashboard</t>
  </si>
  <si>
    <t>Calculation Method</t>
  </si>
  <si>
    <t>Thresholds</t>
  </si>
  <si>
    <t>Percentage Risk</t>
  </si>
  <si>
    <t>(Void Properties / Total Properties) × 100</t>
  </si>
  <si>
    <t>Green: &lt;1%</t>
  </si>
  <si>
    <t>Amber: 1-3%</t>
  </si>
  <si>
    <t>Red: &gt;3%</t>
  </si>
  <si>
    <t>AMBER</t>
  </si>
  <si>
    <t>Monetary Value</t>
  </si>
  <si>
    <t>Sum of (Probability × Impact) for all risks</t>
  </si>
  <si>
    <t>Green: &lt;£10M</t>
  </si>
  <si>
    <t>Amber: £10-20M</t>
  </si>
  <si>
    <t>Red: &gt;£20M</t>
  </si>
  <si>
    <t>RED</t>
  </si>
  <si>
    <t>Risk Score (1-12)</t>
  </si>
  <si>
    <t>Likelihood × Impact Matrix Score</t>
  </si>
  <si>
    <t>Green: 0-1</t>
  </si>
  <si>
    <t>Amber: 3-4</t>
  </si>
  <si>
    <t>Red: &gt;6</t>
  </si>
  <si>
    <t>(Non-compliant Cases / Total Cases) × 100</t>
  </si>
  <si>
    <t>Green: &lt;0.5%</t>
  </si>
  <si>
    <t>Amber: 0.5-1%</t>
  </si>
  <si>
    <t>Red: &gt;1%</t>
  </si>
  <si>
    <t>Lone Working Risk</t>
  </si>
  <si>
    <t>Amber: 6-7</t>
  </si>
  <si>
    <t>Red: &gt;12</t>
  </si>
  <si>
    <t>Frequency Rate</t>
  </si>
  <si>
    <t>Number of Incidents / Time Period</t>
  </si>
  <si>
    <t>Green: 0</t>
  </si>
  <si>
    <t>Amber: 0.1-0.3</t>
  </si>
  <si>
    <t>Red: &gt;0.3</t>
  </si>
  <si>
    <t>Data Integrity Risk</t>
  </si>
  <si>
    <t>Data Quality Assessment Score</t>
  </si>
  <si>
    <t>GREEN</t>
  </si>
  <si>
    <t>Information Quality</t>
  </si>
  <si>
    <t>Quality Index</t>
  </si>
  <si>
    <t>(Quality Score / Maximum Score) × 100</t>
  </si>
  <si>
    <t>Green: &gt;90%</t>
  </si>
  <si>
    <t>Amber: 80-90%</t>
  </si>
  <si>
    <t>Red: &lt;80%</t>
  </si>
  <si>
    <t>Recruitment Risk</t>
  </si>
  <si>
    <t>Staffing Gap × Business Impact</t>
  </si>
  <si>
    <t>Financial Impact</t>
  </si>
  <si>
    <t>Green: &lt;£5M</t>
  </si>
  <si>
    <t>Amber: £5-15M</t>
  </si>
  <si>
    <t>Red: &gt;£15M</t>
  </si>
  <si>
    <t>KPI (Key Performance Indicators) Alignment Dashboard</t>
  </si>
  <si>
    <t>KPI Name</t>
  </si>
  <si>
    <t>Calculation Formula</t>
  </si>
  <si>
    <t>Weighted Average of All Risk Scores</t>
  </si>
  <si>
    <t>WATCH</t>
  </si>
  <si>
    <t>Expected Annual Loss Ratio</t>
  </si>
  <si>
    <t>Total Expected Loss / Total Asset Value × 100</t>
  </si>
  <si>
    <t>CRITICAL</t>
  </si>
  <si>
    <t>(Initial Score - Current Score) / Initial Score × 100</t>
  </si>
  <si>
    <t>ON TRACK</t>
  </si>
  <si>
    <t>Critical Risk Management Rate</t>
  </si>
  <si>
    <t>(Risks with Controls / Total Major Risks) × 100</t>
  </si>
  <si>
    <t>3 of 5 major+ risks managed = 60%</t>
  </si>
  <si>
    <t>REVIEW</t>
  </si>
  <si>
    <t>(Compliant Items / Total Required Items) × 100</t>
  </si>
  <si>
    <t>Status Legend &amp; Calculation Notes</t>
  </si>
  <si>
    <t>Criteria</t>
  </si>
  <si>
    <t>Calculation Notes</t>
  </si>
  <si>
    <t>Within risk appetite/target performance</t>
  </si>
  <si>
    <t>Continue monitoring</t>
  </si>
  <si>
    <t>Values below green thresholds</t>
  </si>
  <si>
    <t>Approaching limits, requires attention</t>
  </si>
  <si>
    <t>Enhanced monitoring &amp; corrective action</t>
  </si>
  <si>
    <t>Values between amber thresholds</t>
  </si>
  <si>
    <t>Exceeds acceptable limits</t>
  </si>
  <si>
    <t>Immediate action &amp; escalation required</t>
  </si>
  <si>
    <t>Values exceed red thresholds</t>
  </si>
  <si>
    <t>🎯 Key Insights from Risk Appetite Analysis</t>
  </si>
  <si>
    <t>⚠️ Priority Actions Required</t>
  </si>
  <si>
    <t>✅ Well-Managed Areas</t>
  </si>
  <si>
    <t>Risk Appetite Framework - Strategic Foundation</t>
  </si>
  <si>
    <t>Strategic Rationale</t>
  </si>
  <si>
    <t>Framework Threshold</t>
  </si>
  <si>
    <t>Current KRI Alignment</t>
  </si>
  <si>
    <t>Gap Analysis</t>
  </si>
  <si>
    <t>Financial stability essential for core operations</t>
  </si>
  <si>
    <t>Expected Annual Loss: £25M (RED)</t>
  </si>
  <si>
    <t>Void Risk: 2.5% (AMBER)</t>
  </si>
  <si>
    <t>MISALIGNED</t>
  </si>
  <si>
    <t>Framework uses score &gt;15, KRI uses monetary thresholds</t>
  </si>
  <si>
    <t>No tolerance for procurement breaches</t>
  </si>
  <si>
    <t>PCR Risk Score: 4 (AMBER)</t>
  </si>
  <si>
    <t>Compliance: 2% (RED)</t>
  </si>
  <si>
    <t>ALIGNED</t>
  </si>
  <si>
    <t>Zero tolerance reflected in tight thresholds</t>
  </si>
  <si>
    <t>No acceptable level of safety risk</t>
  </si>
  <si>
    <t>Lone Working: 12 (RED)</t>
  </si>
  <si>
    <t>Incidents: 0.5/year (RED)</t>
  </si>
  <si>
    <t>PERFECTLY ALIGNED</t>
  </si>
  <si>
    <t>Score of exactly 12 triggers immediate action</t>
  </si>
  <si>
    <t>Accept some risk for programme delivery</t>
  </si>
  <si>
    <t>Data Integrity: 3 (GREEN)</t>
  </si>
  <si>
    <t>Info Quality: 85% (AMBER)</t>
  </si>
  <si>
    <t>WELL WITHIN APPETITE</t>
  </si>
  <si>
    <t>Score of 3 comfortably below 9 threshold</t>
  </si>
  <si>
    <t>Manage cost vs capability trade-offs</t>
  </si>
  <si>
    <t>Recruitment Risk: 4 (AMBER)</t>
  </si>
  <si>
    <t>Capacity Impact: £10M (AMBER)</t>
  </si>
  <si>
    <t>WITHIN APPETITE</t>
  </si>
  <si>
    <t>Score of 4 within acceptable range</t>
  </si>
  <si>
    <t>Cost Performance Index</t>
  </si>
  <si>
    <t>Performance Ratio</t>
  </si>
  <si>
    <t>Earned Value / Actual Cost</t>
  </si>
  <si>
    <t>To be measured</t>
  </si>
  <si>
    <t>Green: &gt;0.95</t>
  </si>
  <si>
    <t>Amber: 0.85-0.95</t>
  </si>
  <si>
    <t>Red: &lt;0.85</t>
  </si>
  <si>
    <t>TBD</t>
  </si>
  <si>
    <t>Programme Manager</t>
  </si>
  <si>
    <t>Programme Health Score</t>
  </si>
  <si>
    <t>Weighted Average</t>
  </si>
  <si>
    <t>Weighted Average of Workstream RAG Status</t>
  </si>
  <si>
    <t>Green: &gt;80%</t>
  </si>
  <si>
    <t>Amber: 60-80%</t>
  </si>
  <si>
    <t>Red: &lt;60%</t>
  </si>
  <si>
    <t>Milestone Achievement Rate</t>
  </si>
  <si>
    <t>Achievement Percentage</t>
  </si>
  <si>
    <t>(Milestones Achieved On Time / Total Milestones) × 100</t>
  </si>
  <si>
    <t>Amber: 75-90%</t>
  </si>
  <si>
    <t>Red: &lt;75%</t>
  </si>
  <si>
    <t>Benefits Realisation Index</t>
  </si>
  <si>
    <t>Benefits Ratio</t>
  </si>
  <si>
    <t>(Actual Benefits / Planned Benefits) × 100</t>
  </si>
  <si>
    <t>Amber: 70-90%</t>
  </si>
  <si>
    <t>Red: &lt;70%</t>
  </si>
  <si>
    <t>Benefits Manager</t>
  </si>
  <si>
    <t>Stakeholder Confidence Index</t>
  </si>
  <si>
    <t>Satisfaction Score</t>
  </si>
  <si>
    <t>Average Stakeholder Satisfaction Score (1-5)</t>
  </si>
  <si>
    <t>Green: &gt;4.0</t>
  </si>
  <si>
    <t>Amber: 3.0-4.0</t>
  </si>
  <si>
    <t>Red: &lt;3.0</t>
  </si>
  <si>
    <t>Stakeholder Manager</t>
  </si>
  <si>
    <t>Quality Performance Index</t>
  </si>
  <si>
    <t>Quality Percentage</t>
  </si>
  <si>
    <t>(Quality Gates Passed / Total Quality Gates) × 100</t>
  </si>
  <si>
    <t>Green: &gt;95%</t>
  </si>
  <si>
    <t>Amber: 85-95%</t>
  </si>
  <si>
    <t>Red: &lt;85%</t>
  </si>
  <si>
    <t>Quality Manager</t>
  </si>
  <si>
    <t>Schedule Performance Index</t>
  </si>
  <si>
    <t>Earned Value / Planned Value</t>
  </si>
  <si>
    <t>Programme Man</t>
  </si>
  <si>
    <r>
      <t>Schedule Performance Index (SPI)</t>
    </r>
    <r>
      <rPr>
        <sz val="10"/>
        <rFont val="Arial"/>
        <family val="2"/>
      </rPr>
      <t xml:space="preserve"> = Earned Value / Planned Value = [To be measured] (Performance indicator)</t>
    </r>
  </si>
  <si>
    <r>
      <t>Cost Performance Index (CPI)</t>
    </r>
    <r>
      <rPr>
        <sz val="10"/>
        <rFont val="Arial"/>
        <family val="2"/>
      </rPr>
      <t xml:space="preserve"> = Earned Value / Actual Cost = [To be measured] (Budget performance indicator)</t>
    </r>
  </si>
  <si>
    <r>
      <t>Programme Health Score</t>
    </r>
    <r>
      <rPr>
        <sz val="10"/>
        <rFont val="Arial"/>
        <family val="2"/>
      </rPr>
      <t xml:space="preserve"> = Weighted average of workstream RAG status = [To be measured] (Overall programme status)</t>
    </r>
  </si>
  <si>
    <r>
      <t>Milestone Achievement Rate</t>
    </r>
    <r>
      <rPr>
        <sz val="10"/>
        <rFont val="Arial"/>
        <family val="2"/>
      </rPr>
      <t xml:space="preserve"> = (Milestones Achieved On Time / Total Milestones) × 100 = [To be measured] (Delivery performance)</t>
    </r>
  </si>
  <si>
    <r>
      <t>Benefits Realisation Index</t>
    </r>
    <r>
      <rPr>
        <sz val="10"/>
        <rFont val="Arial"/>
        <family val="2"/>
      </rPr>
      <t xml:space="preserve"> = (Actual Benefits / Planned Benefits) × 100 = [To be measured] (Value delivery indicator)</t>
    </r>
  </si>
  <si>
    <r>
      <t>Stakeholder Confidence Index</t>
    </r>
    <r>
      <rPr>
        <sz val="10"/>
        <rFont val="Arial"/>
        <family val="2"/>
      </rPr>
      <t xml:space="preserve"> = Average stakeholder satisfaction score (1-5) = [To be measured] (Stakeholder engagement indicator)</t>
    </r>
  </si>
  <si>
    <r>
      <t>Quality Performance Index</t>
    </r>
    <r>
      <rPr>
        <sz val="10"/>
        <rFont val="Arial"/>
        <family val="2"/>
      </rPr>
      <t xml:space="preserve"> = (Quality Gates Passed / Total Quality Gates) × 100 = [To be measured] (Quality assurance indicator)</t>
    </r>
  </si>
  <si>
    <r>
      <t>Resource Utilisation Rate</t>
    </r>
    <r>
      <rPr>
        <sz val="10"/>
        <rFont val="Arial"/>
        <family val="2"/>
      </rPr>
      <t xml:space="preserve"> = (Actual Resource Hours / Planned Resource Hours) × 100 = [To be measured] (Resource efficiency indicator)</t>
    </r>
  </si>
  <si>
    <r>
      <t>Programme Information Risk</t>
    </r>
    <r>
      <rPr>
        <sz val="10"/>
        <rFont val="Arial"/>
        <family val="2"/>
      </rPr>
      <t xml:space="preserve"> = Impact on stakeholder confidence and management capability = [To be measured] (Information/communication risk)</t>
    </r>
  </si>
  <si>
    <r>
      <t>Change Control Index</t>
    </r>
    <r>
      <rPr>
        <sz val="10"/>
        <rFont val="Arial"/>
        <family val="2"/>
      </rPr>
      <t xml:space="preserve"> = (Approved Changes / Total Change Requests) × 100 = [To be measured] (Change management effectiveness)</t>
    </r>
  </si>
  <si>
    <r>
      <t>Dependencies Management Score</t>
    </r>
    <r>
      <rPr>
        <sz val="10"/>
        <rFont val="Arial"/>
        <family val="2"/>
      </rPr>
      <t xml:space="preserve"> = (Resolved Dependencies / Total Critical Dependencies) × 100 = [To be measured] (Dependency risk indicator)</t>
    </r>
  </si>
  <si>
    <t>KRI Type (Name)</t>
  </si>
  <si>
    <t xml:space="preserve">MODERATE </t>
  </si>
  <si>
    <t xml:space="preserve">RISK APPETITE </t>
  </si>
  <si>
    <t>CONCLUSION</t>
  </si>
  <si>
    <t>Monitor void handover process and data validation</t>
  </si>
  <si>
    <t>Immediate risk mitigation required</t>
  </si>
  <si>
    <t>Continue current mitigation strategies</t>
  </si>
  <si>
    <t>Enhance controls for major risks</t>
  </si>
  <si>
    <t>Strengthen compliance oversight and training</t>
  </si>
  <si>
    <t>🔴 Critical</t>
  </si>
  <si>
    <t>Void Risk Exposure (2.5%), 
PCR 2015 Compliance Exposure (2%), 
Safety Incident Frequency (0.5/year)</t>
  </si>
  <si>
    <t>Lone Working Risk Score (12→improving), 
Recruitment Risk Score (4→improving), 
Data Integrity Risk Score (3→improving)</t>
  </si>
  <si>
    <t>Lone Working Risk Score (12), 
Void Risk Exposure (2.5%), 
PCR 2015 Risk Score (4)</t>
  </si>
  <si>
    <t>PCR 2015 Risk Score (4), 
Safety Incident Frequency (0.5/year), 
Compliance Exposure (2%)</t>
  </si>
  <si>
    <t>Void Risk Exposure (2.5%), 
Data Integrity Risk Score (3)</t>
  </si>
  <si>
    <r>
      <t xml:space="preserve">🟡 </t>
    </r>
    <r>
      <rPr>
        <b/>
        <sz val="12"/>
        <rFont val="Arial"/>
        <family val="2"/>
      </rPr>
      <t>Watch</t>
    </r>
  </si>
  <si>
    <r>
      <t xml:space="preserve">🔴 </t>
    </r>
    <r>
      <rPr>
        <b/>
        <sz val="12"/>
        <rFont val="Arial"/>
        <family val="2"/>
      </rPr>
      <t>Critical</t>
    </r>
  </si>
  <si>
    <r>
      <t xml:space="preserve">🟢 </t>
    </r>
    <r>
      <rPr>
        <b/>
        <sz val="12"/>
        <rFont val="Arial"/>
        <family val="2"/>
      </rPr>
      <t>On Track</t>
    </r>
  </si>
  <si>
    <r>
      <t xml:space="preserve">🟡 </t>
    </r>
    <r>
      <rPr>
        <b/>
        <sz val="12"/>
        <rFont val="Arial"/>
        <family val="2"/>
      </rPr>
      <t>Review</t>
    </r>
  </si>
  <si>
    <r>
      <t>Health &amp; Safety</t>
    </r>
    <r>
      <rPr>
        <sz val="16"/>
        <rFont val="Arial"/>
        <family val="2"/>
      </rPr>
      <t>: Lone Working at exactly threshold (12) - immediate action per framework</t>
    </r>
  </si>
  <si>
    <r>
      <t>Financial</t>
    </r>
    <r>
      <rPr>
        <sz val="16"/>
        <rFont val="Arial"/>
        <family val="2"/>
      </rPr>
      <t>: £25M loss exceeds tolerance - viability at risk</t>
    </r>
  </si>
  <si>
    <r>
      <t>Procurement</t>
    </r>
    <r>
      <rPr>
        <sz val="16"/>
        <rFont val="Arial"/>
        <family val="2"/>
      </rPr>
      <t>: 2% compliance exposure violates zero appetite</t>
    </r>
  </si>
  <si>
    <r>
      <t>Programme</t>
    </r>
    <r>
      <rPr>
        <sz val="16"/>
        <rFont val="Arial"/>
        <family val="2"/>
      </rPr>
      <t>: Data integrity (3) well below threshold (9)</t>
    </r>
  </si>
  <si>
    <r>
      <t>Resourcing</t>
    </r>
    <r>
      <rPr>
        <sz val="16"/>
        <rFont val="Arial"/>
        <family val="2"/>
      </rPr>
      <t>: Recruitment risk (4) within moderate appetite</t>
    </r>
  </si>
  <si>
    <r>
      <t>Framework Alignment</t>
    </r>
    <r>
      <rPr>
        <sz val="16"/>
        <rFont val="Arial"/>
        <family val="2"/>
      </rPr>
      <t>: Most KRIs properly calibrated to appetite</t>
    </r>
  </si>
  <si>
    <t>Resource Shortage Cost × Durations</t>
  </si>
  <si>
    <t>Executive Risk Dashboard Summary</t>
  </si>
  <si>
    <t>Total KRIs</t>
  </si>
  <si>
    <t>GLA Compliance</t>
  </si>
  <si>
    <t>Programme Delivery</t>
  </si>
  <si>
    <t>TOTAL</t>
  </si>
  <si>
    <t>Key Risk Alerts (Red Status)</t>
  </si>
  <si>
    <t>Risk</t>
  </si>
  <si>
    <t>Action Owner</t>
  </si>
  <si>
    <t>Deadline</t>
  </si>
  <si>
    <t>Void Properties</t>
  </si>
  <si>
    <t>Red - 2.5% exposure</t>
  </si>
  <si>
    <t>£12.5M annual loss risk</t>
  </si>
  <si>
    <t>Immediate</t>
  </si>
  <si>
    <t>Lone Working Safety</t>
  </si>
  <si>
    <t>Red - Score 12</t>
  </si>
  <si>
    <t>Staff safety &amp; legal exposure</t>
  </si>
  <si>
    <t>PCR 2015 Compliance</t>
  </si>
  <si>
    <t>Red - 2% exposure</t>
  </si>
  <si>
    <t>£10M penalty risk</t>
  </si>
  <si>
    <t>14 days</t>
  </si>
  <si>
    <t>Risk Trend Analysis (7-day)</t>
  </si>
  <si>
    <t>Key Movement</t>
  </si>
  <si>
    <r>
      <t xml:space="preserve">↗️ </t>
    </r>
    <r>
      <rPr>
        <b/>
        <sz val="10"/>
        <rFont val="Arial"/>
        <family val="2"/>
      </rPr>
      <t>Worsening</t>
    </r>
  </si>
  <si>
    <t>Void risk increasing due to handover delays</t>
  </si>
  <si>
    <r>
      <t xml:space="preserve">↘️ </t>
    </r>
    <r>
      <rPr>
        <b/>
        <sz val="10"/>
        <rFont val="Arial"/>
        <family val="2"/>
      </rPr>
      <t>Improving</t>
    </r>
  </si>
  <si>
    <t>Training programme reducing compliance risk</t>
  </si>
  <si>
    <r>
      <t xml:space="preserve">↔️ </t>
    </r>
    <r>
      <rPr>
        <b/>
        <sz val="10"/>
        <rFont val="Arial"/>
        <family val="2"/>
      </rPr>
      <t>Stable</t>
    </r>
  </si>
  <si>
    <t>Enhanced measures maintaining current levels</t>
  </si>
  <si>
    <t>Data integrity initiatives showing results</t>
  </si>
  <si>
    <t>Recruitment initiatives reducing pressure</t>
  </si>
  <si>
    <t>Critical Actions Required (Next 48 Hours)</t>
  </si>
  <si>
    <r>
      <t>1. Void Properties (Financial)</t>
    </r>
    <r>
      <rPr>
        <sz val="10"/>
        <rFont val="Arial"/>
        <family val="2"/>
      </rPr>
      <t xml:space="preserve"> - Implement emergency handover protocol</t>
    </r>
  </si>
  <si>
    <r>
      <t>2. Lone Working (H&amp;S)</t>
    </r>
    <r>
      <rPr>
        <sz val="10"/>
        <rFont val="Arial"/>
        <family val="2"/>
      </rPr>
      <t xml:space="preserve"> - Review safety measures on high-risk sites</t>
    </r>
  </si>
  <si>
    <r>
      <t>3. PCR 2015 Compliance (Procurement)</t>
    </r>
    <r>
      <rPr>
        <sz val="10"/>
        <rFont val="Arial"/>
        <family val="2"/>
      </rPr>
      <t xml:space="preserve"> - Complete urgent training for key staff</t>
    </r>
  </si>
  <si>
    <t>Programme Risk Exposure Summary</t>
  </si>
  <si>
    <t>Metric</t>
  </si>
  <si>
    <t>Current</t>
  </si>
  <si>
    <t>Target</t>
  </si>
  <si>
    <t>Total Expected Annual Loss</t>
  </si>
  <si>
    <t>&lt;£15M</t>
  </si>
  <si>
    <t>🔴 Above target</t>
  </si>
  <si>
    <t>Active Major Risks</t>
  </si>
  <si>
    <t>&lt;2</t>
  </si>
  <si>
    <t>🟡 Progressing</t>
  </si>
  <si>
    <t>Regulatory Compliance</t>
  </si>
  <si>
    <t>🔴 Below target</t>
  </si>
  <si>
    <r>
      <t>Overall Programme Risk Rating: HIGH</t>
    </r>
    <r>
      <rPr>
        <sz val="10"/>
        <rFont val="Arial"/>
        <family val="2"/>
      </rPr>
      <t xml:space="preserve"> </t>
    </r>
    <r>
      <rPr>
        <i/>
        <sz val="10"/>
        <rFont val="Arial"/>
        <family val="2"/>
      </rPr>
      <t>Requires immediate senior management attention and intervention</t>
    </r>
  </si>
  <si>
    <t>COMPREHENSIVE KPI-KRI ANALYSIS TABLE</t>
  </si>
  <si>
    <t>Programme Objective</t>
  </si>
  <si>
    <t>KPI Target</t>
  </si>
  <si>
    <t>KPI Current</t>
  </si>
  <si>
    <t>KRI Score (Initial→Current)</t>
  </si>
  <si>
    <t>KRI Target Score</t>
  </si>
  <si>
    <t>KRI Status</t>
  </si>
  <si>
    <t>Comparative Analysis</t>
  </si>
  <si>
    <t>Conclusion &amp; Action Required</t>
  </si>
  <si>
    <t>Deliver all projects on time and within budget</t>
  </si>
  <si>
    <t>Programme Delivery Success Rate</t>
  </si>
  <si>
    <t>[TO BE CALCULATED]</t>
  </si>
  <si>
    <t>Void Property Risk Exposure</t>
  </si>
  <si>
    <t>20→12 (40% reduction)</t>
  </si>
  <si>
    <t>&lt;6</t>
  </si>
  <si>
    <t>🔴 RED</t>
  </si>
  <si>
    <t>12→3 (75% reduction)</t>
  </si>
  <si>
    <t>&lt;3</t>
  </si>
  <si>
    <t>🟢 GREEN</t>
  </si>
  <si>
    <t>Minimize financial exposure and protect programme viability</t>
  </si>
  <si>
    <t>&lt;2% of programme value</t>
  </si>
  <si>
    <t>5% (£25M)</t>
  </si>
  <si>
    <t>Void Property Risk</t>
  </si>
  <si>
    <t>20→12 (£25M→£12.5M)</t>
  </si>
  <si>
    <t>&lt;6 (&lt;£5M)</t>
  </si>
  <si>
    <t>PCR 2015 Compliance Risk</t>
  </si>
  <si>
    <t>8→4 (50% reduction)</t>
  </si>
  <si>
    <t>🟡 AMBER</t>
  </si>
  <si>
    <t>Achieve zero preventable safety incidents</t>
  </si>
  <si>
    <t>Safety Performance Index</t>
  </si>
  <si>
    <t>&lt;1.0 (industry benchmark)</t>
  </si>
  <si>
    <t>15→12 (20% reduction)</t>
  </si>
  <si>
    <t>Safety Compliance Score</t>
  </si>
  <si>
    <t>Not in original register</t>
  </si>
  <si>
    <t>94% (target &gt;95%)</t>
  </si>
  <si>
    <t>Maintain full regulatory compliance</t>
  </si>
  <si>
    <t>Baseline established</t>
  </si>
  <si>
    <t>Optimize resource utilization and retention</t>
  </si>
  <si>
    <t>Resource Efficiency Index</t>
  </si>
  <si>
    <t>&gt;85%</t>
  </si>
  <si>
    <t>Not scored in register</t>
  </si>
  <si>
    <t>Ensure accurate programme reporting and stakeholder confidence</t>
  </si>
  <si>
    <t>Stakeholder Satisfaction Score</t>
  </si>
  <si>
    <r>
      <t>Good baseline:</t>
    </r>
    <r>
      <rPr>
        <sz val="10"/>
        <rFont val="Arial"/>
        <family val="2"/>
      </rPr>
      <t xml:space="preserve"> Solid starting position but needs 5% improvement. Data re-filing exercise 75% complete. Pamwin implementation issues being resolved. Staff training showing results.</t>
    </r>
  </si>
  <si>
    <r>
      <t>Significant improvement:</t>
    </r>
    <r>
      <rPr>
        <sz val="11"/>
        <rFont val="Arial"/>
        <family val="2"/>
      </rPr>
      <t xml:space="preserve"> Risk reduced from Severe (20) to Major (12) through enhanced controls. However, still in critical zone with £12.5M annual exposure vs £25M initial estimate. Mitigation effectiveness: 40% reduction achieved.</t>
    </r>
  </si>
  <si>
    <r>
      <t>IMMEDIATE ACTION:</t>
    </r>
    <r>
      <rPr>
        <sz val="11"/>
        <rFont val="Arial"/>
        <family val="2"/>
      </rPr>
      <t xml:space="preserve"> Complete enhanced handover process implementation. Target: Reduce score 12→8 within 60 days. Risk remains programme's highest financial threat despite improvements.</t>
    </r>
  </si>
  <si>
    <r>
      <t>Excellent improvement:</t>
    </r>
    <r>
      <rPr>
        <sz val="11"/>
        <rFont val="Arial"/>
        <family val="2"/>
      </rPr>
      <t xml:space="preserve"> Major risk (12) reduced to Minor (3) - best performing risk across programme. Data validation exercises highly effective. Staff training on data consequences showing strong results. 75% risk reduction exceeds programme average.</t>
    </r>
  </si>
  <si>
    <r>
      <t>MAINTAIN:</t>
    </r>
    <r>
      <rPr>
        <sz val="11"/>
        <rFont val="Arial"/>
        <family val="2"/>
      </rPr>
      <t xml:space="preserve"> Continue data validation exercises. Monitor for any regression. Success model for other risk categories. Consider applying methodology to other data quality risks.</t>
    </r>
  </si>
  <si>
    <r>
      <t>Moderate improvement:</t>
    </r>
    <r>
      <rPr>
        <sz val="11"/>
        <rFont val="Arial"/>
        <family val="2"/>
      </rPr>
      <t xml:space="preserve"> 50% reduction in expected loss but still 2.5x above target. Void periods remain critical programme threat. Enhanced handover process partially effective but needs acceleration. Industry benchmark: &lt;1% void exposure.</t>
    </r>
  </si>
  <si>
    <r>
      <t>CRITICAL:</t>
    </r>
    <r>
      <rPr>
        <sz val="11"/>
        <rFont val="Arial"/>
        <family val="2"/>
      </rPr>
      <t xml:space="preserve"> Implement emergency handover protocols. Engage with Housing Allocations team urgently. Target: &lt;£5M exposure by Q3 2025. Consider external specialist support.</t>
    </r>
  </si>
  <si>
    <r>
      <t>Good improvement:</t>
    </r>
    <r>
      <rPr>
        <sz val="11"/>
        <rFont val="Arial"/>
        <family val="2"/>
      </rPr>
      <t xml:space="preserve"> Risk halved through PMO oversight and training programme. However, still above target with £10M penalty exposure. Training completion at 60%. Procurement cycle times averaging 45 days vs 35-day target.</t>
    </r>
  </si>
  <si>
    <r>
      <t>ACCELERATE:</t>
    </r>
    <r>
      <rPr>
        <sz val="11"/>
        <rFont val="Arial"/>
        <family val="2"/>
      </rPr>
      <t xml:space="preserve"> Complete remaining 40% of training programme within 30 days. Focus on high-risk procurement activities. Target score reduction 4→2 by Q3 2025.</t>
    </r>
  </si>
  <si>
    <r>
      <t>Limited improvement:</t>
    </r>
    <r>
      <rPr>
        <sz val="11"/>
        <rFont val="Arial"/>
        <family val="2"/>
      </rPr>
      <t xml:space="preserve"> Smallest reduction across all risks (20%). Enhanced measures on Aylesbury Estate helping but risk remains Major. 0.5 incidents/year projected vs zero target. Industry average: 0.8 incidents.</t>
    </r>
  </si>
  <si>
    <r>
      <t>URGENT:</t>
    </r>
    <r>
      <rPr>
        <sz val="11"/>
        <rFont val="Arial"/>
        <family val="2"/>
      </rPr>
      <t xml:space="preserve"> Review all lone working protocols immediately. Implement buddy system on high-risk sites. Target: Score reduction 12→8 within 30 days. Zero tolerance approach required.</t>
    </r>
  </si>
  <si>
    <r>
      <t>New monitoring:</t>
    </r>
    <r>
      <rPr>
        <sz val="11"/>
        <rFont val="Arial"/>
        <family val="2"/>
      </rPr>
      <t xml:space="preserve"> Recently introduced KRI showing good baseline performance at 94%. Slightly below 95% target but trending positive. Weekly audit programme showing consistent results.</t>
    </r>
  </si>
  <si>
    <r>
      <t>FOCUS:</t>
    </r>
    <r>
      <rPr>
        <sz val="11"/>
        <rFont val="Arial"/>
        <family val="2"/>
      </rPr>
      <t xml:space="preserve"> Push compliance above 95% threshold. Identify specific gap areas in audits. Implement corrective actions for non-compliant sites.</t>
    </r>
  </si>
  <si>
    <r>
      <t>Steady improvement:</t>
    </r>
    <r>
      <rPr>
        <sz val="11"/>
        <rFont val="Arial"/>
        <family val="2"/>
      </rPr>
      <t xml:space="preserve"> Consistent with procurement risk trend. PMO oversight proving effective. Training programme 60% complete. Regulatory sanctions avoided to date but risk remains elevated.</t>
    </r>
  </si>
  <si>
    <r>
      <t>SUSTAIN:</t>
    </r>
    <r>
      <rPr>
        <sz val="11"/>
        <rFont val="Arial"/>
        <family val="2"/>
      </rPr>
      <t xml:space="preserve"> Complete training rollout. Establish monthly compliance reviews. Target: 100% compliance rate by Q4 2025.</t>
    </r>
  </si>
  <si>
    <r>
      <t>New baseline:</t>
    </r>
    <r>
      <rPr>
        <sz val="11"/>
        <rFont val="Arial"/>
        <family val="2"/>
      </rPr>
      <t xml:space="preserve"> Strong starting position at 94%. Weekly audit frequency appropriate. Need 1% improvement to reach green status. Correlates with lone working risk management efforts.</t>
    </r>
  </si>
  <si>
    <r>
      <t>Strong improvement:</t>
    </r>
    <r>
      <rPr>
        <sz val="11"/>
        <rFont val="Arial"/>
        <family val="2"/>
      </rPr>
      <t xml:space="preserve"> Risk halved through comprehensive retention strategy. New onboarding, development opportunities, work-life balance initiatives working. Staff turnover reduced. One of better performing risk areas.</t>
    </r>
  </si>
  <si>
    <r>
      <t>SUSTAIN:</t>
    </r>
    <r>
      <rPr>
        <sz val="11"/>
        <rFont val="Arial"/>
        <family val="2"/>
      </rPr>
      <t xml:space="preserve"> Continue current retention initiatives. Monitor monthly through Resource meetings. Target: Achieve &lt;3 score by Q4 2025. Consider expanding successful initiatives.</t>
    </r>
  </si>
  <si>
    <r>
      <t>Ongoing concern:</t>
    </r>
    <r>
      <rPr>
        <sz val="11"/>
        <rFont val="Arial"/>
        <family val="2"/>
      </rPr>
      <t xml:space="preserve"> Resource pressures creating £10M potential programme impact. Recruitment campaigns active but tight labor market challenging. Resource meetings helping coordinate allocation.</t>
    </r>
  </si>
  <si>
    <r>
      <t>Exemplary improvement:</t>
    </r>
    <r>
      <rPr>
        <sz val="11"/>
        <rFont val="Arial"/>
        <family val="2"/>
      </rPr>
      <t xml:space="preserve"> Best performing risk with 75% reduction. Data validation exercises highly effective. Staff fully engaged with data quality importance. Supporting accurate stakeholder reporting.</t>
    </r>
  </si>
  <si>
    <r>
      <t>MAINTAIN:</t>
    </r>
    <r>
      <rPr>
        <sz val="11"/>
        <rFont val="Arial"/>
        <family val="2"/>
      </rPr>
      <t xml:space="preserve"> Continue monthly data validation. Consider expanding methodology to other programmes. Success story for stakeholder confidence building.</t>
    </r>
  </si>
  <si>
    <t>94%&gt;95%</t>
  </si>
  <si>
    <t>85%&gt;90%</t>
  </si>
  <si>
    <t>£10M impact
(&lt;£5M)</t>
  </si>
  <si>
    <t>EXAMPLE - Current Risk Status (as of June 10, 2025, 16:45 GMT)</t>
  </si>
  <si>
    <r>
      <t xml:space="preserve">🟡 </t>
    </r>
    <r>
      <rPr>
        <b/>
        <sz val="11"/>
        <rFont val="Arial"/>
        <family val="2"/>
      </rPr>
      <t>Watch</t>
    </r>
  </si>
  <si>
    <r>
      <t xml:space="preserve">🔴 </t>
    </r>
    <r>
      <rPr>
        <b/>
        <sz val="11"/>
        <rFont val="Arial"/>
        <family val="2"/>
      </rPr>
      <t>Critical</t>
    </r>
  </si>
  <si>
    <r>
      <t xml:space="preserve">🟢 </t>
    </r>
    <r>
      <rPr>
        <b/>
        <sz val="11"/>
        <rFont val="Arial"/>
        <family val="2"/>
      </rPr>
      <t>On Track</t>
    </r>
  </si>
  <si>
    <r>
      <t xml:space="preserve">🟡 </t>
    </r>
    <r>
      <rPr>
        <b/>
        <sz val="11"/>
        <rFont val="Arial"/>
        <family val="2"/>
      </rPr>
      <t>Review</t>
    </r>
  </si>
  <si>
    <t>KPI Formula</t>
  </si>
  <si>
    <t>Related KRI</t>
  </si>
  <si>
    <t>KRI Formula</t>
  </si>
  <si>
    <t>Business Justification</t>
  </si>
  <si>
    <t>Escalation Trigger</t>
  </si>
  <si>
    <t>Deliver all projects on time and within approved budgets</t>
  </si>
  <si>
    <t>((Projects On Time ÷ Total Projects) × 50%) + ((Projects On Budget ÷ Total Projects) × 50%)</t>
  </si>
  <si>
    <t>Budget Variance Rate</t>
  </si>
  <si>
    <t>((Actual Costs - Approved Budget) ÷ Approved Budget) × 100%</t>
  </si>
  <si>
    <t>&lt;5% variance</t>
  </si>
  <si>
    <t>Allow controlled variance for quality delivery and innovation</t>
  </si>
  <si>
    <t>&gt;3% variance</t>
  </si>
  <si>
    <t>Earned Value ÷ Planned Value (across all projects)</t>
  </si>
  <si>
    <t>&gt;0.98</t>
  </si>
  <si>
    <t>Accept reasonable delays for quality outcomes</t>
  </si>
  <si>
    <t>&lt;0.95 SPI</t>
  </si>
  <si>
    <t>(Void Properties Cost Impact ÷ Total Programme Value) × 100%</t>
  </si>
  <si>
    <t>Minimize rental income loss and deterioration costs</t>
  </si>
  <si>
    <t>&gt;2% exposure</t>
  </si>
  <si>
    <t>Protect public funds and ensure financial sustainability</t>
  </si>
  <si>
    <t>(Total Expected Annual Loss ÷ Total Programme Value) × 100%</t>
  </si>
  <si>
    <t>Total Expected Loss</t>
  </si>
  <si>
    <t>Sum of (Risk Impact × Probability × Financial Consequence) for all active risks</t>
  </si>
  <si>
    <t>Essential for HRA viability and public accountability</t>
  </si>
  <si>
    <t>Earned Value ÷ Actual Costs (across all projects)</t>
  </si>
  <si>
    <t>Cash Flow Risk Indicator</t>
  </si>
  <si>
    <t>Months of Available Cash ÷ Monthly Committed Expenditure</t>
  </si>
  <si>
    <t>Conservative</t>
  </si>
  <si>
    <t>3.2 months</t>
  </si>
  <si>
    <t>Ensure financial stability and payment capability</t>
  </si>
  <si>
    <t>&lt;3 months visibility</t>
  </si>
  <si>
    <t>(Programme Accident Frequency Rate ÷ Industry Benchmark Rate)</t>
  </si>
  <si>
    <t>Accident Frequency Rate</t>
  </si>
  <si>
    <t>(Number of RIDDOR Accidents × 100,000) ÷ Total Hours Worked</t>
  </si>
  <si>
    <t>Zero</t>
  </si>
  <si>
    <t>Staff and public safety is non-negotiable</t>
  </si>
  <si>
    <t>Any preventable incident</t>
  </si>
  <si>
    <t>Impact Score × Likelihood Score (from risk register)</t>
  </si>
  <si>
    <t>Protect staff welfare and prevent injuries</t>
  </si>
  <si>
    <t>Score &gt;6</t>
  </si>
  <si>
    <t>(Safety Audits Passed ÷ Total Safety Audits) × 100%</t>
  </si>
  <si>
    <t>Full regulatory compliance required</t>
  </si>
  <si>
    <t>&lt;95% compliance</t>
  </si>
  <si>
    <t>Maintain full regulatory and legal compliance</t>
  </si>
  <si>
    <t>(Compliant Activities ÷ Total Regulatory Activities) × 100%</t>
  </si>
  <si>
    <t>Protect against legal challenge and penalties</t>
  </si>
  <si>
    <t>Score &gt;4</t>
  </si>
  <si>
    <t>GLA Approval Processing Time</t>
  </si>
  <si>
    <t>Sum of (Approval Days) ÷ Number of Approvals</t>
  </si>
  <si>
    <t>28 days</t>
  </si>
  <si>
    <t>Maintain program delivery momentum</t>
  </si>
  <si>
    <t>&gt;21 days average</t>
  </si>
  <si>
    <t>Compliance Breach Count</t>
  </si>
  <si>
    <t>Number of Regulatory Non-compliance Incidents per Quarter</t>
  </si>
  <si>
    <t>Regulatory</t>
  </si>
  <si>
    <t>1 current</t>
  </si>
  <si>
    <t>Protect licenses and operating permissions</t>
  </si>
  <si>
    <t>&gt;1 per quarter</t>
  </si>
  <si>
    <t>Optimize resource utilization and capability</t>
  </si>
  <si>
    <t>(Actual Resource Hours ÷ Planned Resource Hours) × 100%</t>
  </si>
  <si>
    <t>Resource Utilization Rate</t>
  </si>
  <si>
    <t>(Billable Hours ÷ Available Hours) × 100%</t>
  </si>
  <si>
    <t>Balance efficiency with staff wellbeing</t>
  </si>
  <si>
    <t>&lt;85% utilization</t>
  </si>
  <si>
    <t>Skill Gap Coverage</t>
  </si>
  <si>
    <t>((Total Required Skills - Unfilled Skills) ÷ Total Required Skills) × 100%</t>
  </si>
  <si>
    <t>&gt;95%</t>
  </si>
  <si>
    <t>Skills Gap Index</t>
  </si>
  <si>
    <t>(Critical Roles Unfilled or Underqualified ÷ Total Critical Roles) × 100%</t>
  </si>
  <si>
    <t>Ensure adequate delivery capability</t>
  </si>
  <si>
    <t>&gt;10% skills gap</t>
  </si>
  <si>
    <t>Maintain delivery capacity and expertise</t>
  </si>
  <si>
    <t>Ensure accurate reporting and stakeholder confidence</t>
  </si>
  <si>
    <t>((Resident Satisfaction × 40%) + (GLA Satisfaction × 30%) + (Contractor Satisfaction × 30%))</t>
  </si>
  <si>
    <t>Support effective decision-making</t>
  </si>
  <si>
    <t>(Accurate Data Points ÷ Total Data Points Reviewed) × 100%</t>
  </si>
  <si>
    <t>Information Quality Percentage</t>
  </si>
  <si>
    <t>(Data Validation Passes ÷ Total Data Validations) × 100%</t>
  </si>
  <si>
    <t>Ensure reliable program management</t>
  </si>
  <si>
    <t>&lt;95% accuracy</t>
  </si>
  <si>
    <t>Maintain strong supplier and contractor performance</t>
  </si>
  <si>
    <t>Contractor Performance Index</t>
  </si>
  <si>
    <t>((Delivery Score × 30%) + (Quality Score × 25%) + (Safety Score × 25%) + (Commercial Score × 20%))</t>
  </si>
  <si>
    <t>Contractor Performance Score</t>
  </si>
  <si>
    <t>Weighted Average of (Delivery + Quality + Safety + Commercial Performance)</t>
  </si>
  <si>
    <t>Ensure quality delivery and value for money</t>
  </si>
  <si>
    <t>&lt;90% performance</t>
  </si>
  <si>
    <t>Procurement Cycle Time</t>
  </si>
  <si>
    <t>(Sum of Days from Tender Issue to Contract Award) ÷ Number of Procurements</t>
  </si>
  <si>
    <t>45 days</t>
  </si>
  <si>
    <t>Maintain delivery momentum and competition</t>
  </si>
  <si>
    <t>&gt;35 days average</t>
  </si>
  <si>
    <t>Maximize value for money and cost efficiency</t>
  </si>
  <si>
    <t>Value Engineering Success Rate</t>
  </si>
  <si>
    <t>(Value Engineering Savings Achieved ÷ Value Engineering Opportunities Identified) × 100%</t>
  </si>
  <si>
    <t>&gt;75%</t>
  </si>
  <si>
    <t>Cost Inflation Risk Score</t>
  </si>
  <si>
    <t>🟡 TBD</t>
  </si>
  <si>
    <t>Optimize public fund utilization and cost control</t>
  </si>
  <si>
    <t>Market Rate Variance</t>
  </si>
  <si>
    <t>((Current Market Rates - Budgeted Rates) ÷ Budgeted Rates) × 100%</t>
  </si>
  <si>
    <t>Manage construction cost volatility</t>
  </si>
  <si>
    <t>&gt;5% variance</t>
  </si>
  <si>
    <t>Threshold Limits</t>
  </si>
  <si>
    <r>
      <t>Green:</t>
    </r>
    <r>
      <rPr>
        <sz val="10"/>
        <rFont val="Arial"/>
        <family val="2"/>
      </rPr>
      <t xml:space="preserve"> &lt;2% </t>
    </r>
    <r>
      <rPr>
        <b/>
        <sz val="10"/>
        <rFont val="Arial"/>
        <family val="2"/>
      </rPr>
      <t>Amber:</t>
    </r>
    <r>
      <rPr>
        <sz val="10"/>
        <rFont val="Arial"/>
        <family val="2"/>
      </rPr>
      <t xml:space="preserve"> 2-3% </t>
    </r>
    <r>
      <rPr>
        <b/>
        <sz val="10"/>
        <rFont val="Arial"/>
        <family val="2"/>
      </rPr>
      <t>Red:</t>
    </r>
    <r>
      <rPr>
        <sz val="10"/>
        <rFont val="Arial"/>
        <family val="2"/>
      </rPr>
      <t xml:space="preserve"> &gt;3%</t>
    </r>
  </si>
  <si>
    <r>
      <t>Green:</t>
    </r>
    <r>
      <rPr>
        <sz val="10"/>
        <rFont val="Arial"/>
        <family val="2"/>
      </rPr>
      <t xml:space="preserve"> &gt;0.98 </t>
    </r>
    <r>
      <rPr>
        <b/>
        <sz val="10"/>
        <rFont val="Arial"/>
        <family val="2"/>
      </rPr>
      <t>Amber:</t>
    </r>
    <r>
      <rPr>
        <sz val="10"/>
        <rFont val="Arial"/>
        <family val="2"/>
      </rPr>
      <t xml:space="preserve"> 0.95-0.98 </t>
    </r>
    <r>
      <rPr>
        <b/>
        <sz val="10"/>
        <rFont val="Arial"/>
        <family val="2"/>
      </rPr>
      <t>Red:</t>
    </r>
    <r>
      <rPr>
        <sz val="10"/>
        <rFont val="Arial"/>
        <family val="2"/>
      </rPr>
      <t xml:space="preserve"> &lt;0.95</t>
    </r>
  </si>
  <si>
    <r>
      <t>Green:</t>
    </r>
    <r>
      <rPr>
        <sz val="10"/>
        <rFont val="Arial"/>
        <family val="2"/>
      </rPr>
      <t xml:space="preserve"> &lt;1% </t>
    </r>
    <r>
      <rPr>
        <b/>
        <sz val="10"/>
        <rFont val="Arial"/>
        <family val="2"/>
      </rPr>
      <t>Amber:</t>
    </r>
    <r>
      <rPr>
        <sz val="10"/>
        <rFont val="Arial"/>
        <family val="2"/>
      </rPr>
      <t xml:space="preserve"> 1-2% </t>
    </r>
    <r>
      <rPr>
        <b/>
        <sz val="10"/>
        <rFont val="Arial"/>
        <family val="2"/>
      </rPr>
      <t>Red:</t>
    </r>
    <r>
      <rPr>
        <sz val="10"/>
        <rFont val="Arial"/>
        <family val="2"/>
      </rPr>
      <t xml:space="preserve"> &gt;2%</t>
    </r>
  </si>
  <si>
    <t>&gt;3% ratio</t>
  </si>
  <si>
    <r>
      <t>Green:</t>
    </r>
    <r>
      <rPr>
        <sz val="10"/>
        <rFont val="Arial"/>
        <family val="2"/>
      </rPr>
      <t xml:space="preserve"> &gt;6 months </t>
    </r>
    <r>
      <rPr>
        <b/>
        <sz val="10"/>
        <rFont val="Arial"/>
        <family val="2"/>
      </rPr>
      <t>Amber:</t>
    </r>
    <r>
      <rPr>
        <sz val="10"/>
        <rFont val="Arial"/>
        <family val="2"/>
      </rPr>
      <t xml:space="preserve"> 3-6 months </t>
    </r>
    <r>
      <rPr>
        <b/>
        <sz val="10"/>
        <rFont val="Arial"/>
        <family val="2"/>
      </rPr>
      <t>Red:</t>
    </r>
    <r>
      <rPr>
        <sz val="10"/>
        <rFont val="Arial"/>
        <family val="2"/>
      </rPr>
      <t xml:space="preserve"> &lt;3 months</t>
    </r>
  </si>
  <si>
    <r>
      <t>Green:</t>
    </r>
    <r>
      <rPr>
        <sz val="10"/>
        <rFont val="Arial"/>
        <family val="2"/>
      </rPr>
      <t xml:space="preserve"> 0 </t>
    </r>
    <r>
      <rPr>
        <b/>
        <sz val="10"/>
        <rFont val="Arial"/>
        <family val="2"/>
      </rPr>
      <t>Amber:</t>
    </r>
    <r>
      <rPr>
        <sz val="10"/>
        <rFont val="Arial"/>
        <family val="2"/>
      </rPr>
      <t xml:space="preserve"> 0.1-0.5 </t>
    </r>
    <r>
      <rPr>
        <b/>
        <sz val="10"/>
        <rFont val="Arial"/>
        <family val="2"/>
      </rPr>
      <t>Red:</t>
    </r>
    <r>
      <rPr>
        <sz val="10"/>
        <rFont val="Arial"/>
        <family val="2"/>
      </rPr>
      <t xml:space="preserve"> &gt;0.5</t>
    </r>
  </si>
  <si>
    <r>
      <t>Green:</t>
    </r>
    <r>
      <rPr>
        <sz val="10"/>
        <rFont val="Arial"/>
        <family val="2"/>
      </rPr>
      <t xml:space="preserve"> &lt;3 </t>
    </r>
    <r>
      <rPr>
        <b/>
        <sz val="10"/>
        <rFont val="Arial"/>
        <family val="2"/>
      </rPr>
      <t>Amber:</t>
    </r>
    <r>
      <rPr>
        <sz val="10"/>
        <rFont val="Arial"/>
        <family val="2"/>
      </rPr>
      <t xml:space="preserve"> 3-6 </t>
    </r>
    <r>
      <rPr>
        <b/>
        <sz val="10"/>
        <rFont val="Arial"/>
        <family val="2"/>
      </rPr>
      <t>Red:</t>
    </r>
    <r>
      <rPr>
        <sz val="10"/>
        <rFont val="Arial"/>
        <family val="2"/>
      </rPr>
      <t xml:space="preserve"> &gt;6</t>
    </r>
  </si>
  <si>
    <r>
      <t>Green:</t>
    </r>
    <r>
      <rPr>
        <sz val="10"/>
        <rFont val="Arial"/>
        <family val="2"/>
      </rPr>
      <t xml:space="preserve"> 100% </t>
    </r>
    <r>
      <rPr>
        <b/>
        <sz val="10"/>
        <rFont val="Arial"/>
        <family val="2"/>
      </rPr>
      <t>Amber:</t>
    </r>
    <r>
      <rPr>
        <sz val="10"/>
        <rFont val="Arial"/>
        <family val="2"/>
      </rPr>
      <t xml:space="preserve"> 95-99% </t>
    </r>
    <r>
      <rPr>
        <b/>
        <sz val="10"/>
        <rFont val="Arial"/>
        <family val="2"/>
      </rPr>
      <t>Red:</t>
    </r>
    <r>
      <rPr>
        <sz val="10"/>
        <rFont val="Arial"/>
        <family val="2"/>
      </rPr>
      <t xml:space="preserve"> &lt;95%</t>
    </r>
  </si>
  <si>
    <r>
      <t>Green:</t>
    </r>
    <r>
      <rPr>
        <sz val="10"/>
        <rFont val="Arial"/>
        <family val="2"/>
      </rPr>
      <t xml:space="preserve"> &lt;2 </t>
    </r>
    <r>
      <rPr>
        <b/>
        <sz val="10"/>
        <rFont val="Arial"/>
        <family val="2"/>
      </rPr>
      <t>Amber:</t>
    </r>
    <r>
      <rPr>
        <sz val="10"/>
        <rFont val="Arial"/>
        <family val="2"/>
      </rPr>
      <t xml:space="preserve"> 2-4 </t>
    </r>
    <r>
      <rPr>
        <b/>
        <sz val="10"/>
        <rFont val="Arial"/>
        <family val="2"/>
      </rPr>
      <t>Red:</t>
    </r>
    <r>
      <rPr>
        <sz val="10"/>
        <rFont val="Arial"/>
        <family val="2"/>
      </rPr>
      <t xml:space="preserve"> &gt;4</t>
    </r>
  </si>
  <si>
    <r>
      <t>Green:</t>
    </r>
    <r>
      <rPr>
        <sz val="10"/>
        <rFont val="Arial"/>
        <family val="2"/>
      </rPr>
      <t xml:space="preserve"> &lt;14 days </t>
    </r>
    <r>
      <rPr>
        <b/>
        <sz val="10"/>
        <rFont val="Arial"/>
        <family val="2"/>
      </rPr>
      <t>Amber:</t>
    </r>
    <r>
      <rPr>
        <sz val="10"/>
        <rFont val="Arial"/>
        <family val="2"/>
      </rPr>
      <t xml:space="preserve"> 14-21 days </t>
    </r>
    <r>
      <rPr>
        <b/>
        <sz val="10"/>
        <rFont val="Arial"/>
        <family val="2"/>
      </rPr>
      <t>Red:</t>
    </r>
    <r>
      <rPr>
        <sz val="10"/>
        <rFont val="Arial"/>
        <family val="2"/>
      </rPr>
      <t xml:space="preserve"> &gt;21 days</t>
    </r>
  </si>
  <si>
    <r>
      <t>Green:</t>
    </r>
    <r>
      <rPr>
        <sz val="10"/>
        <rFont val="Arial"/>
        <family val="2"/>
      </rPr>
      <t xml:space="preserve"> 0 </t>
    </r>
    <r>
      <rPr>
        <b/>
        <sz val="10"/>
        <rFont val="Arial"/>
        <family val="2"/>
      </rPr>
      <t>Amber:</t>
    </r>
    <r>
      <rPr>
        <sz val="10"/>
        <rFont val="Arial"/>
        <family val="2"/>
      </rPr>
      <t xml:space="preserve"> 1 </t>
    </r>
    <r>
      <rPr>
        <b/>
        <sz val="10"/>
        <rFont val="Arial"/>
        <family val="2"/>
      </rPr>
      <t>Red:</t>
    </r>
    <r>
      <rPr>
        <sz val="10"/>
        <rFont val="Arial"/>
        <family val="2"/>
      </rPr>
      <t xml:space="preserve"> &gt;1</t>
    </r>
  </si>
  <si>
    <r>
      <t>Green:</t>
    </r>
    <r>
      <rPr>
        <sz val="10"/>
        <rFont val="Arial"/>
        <family val="2"/>
      </rPr>
      <t xml:space="preserve"> &gt;90% </t>
    </r>
    <r>
      <rPr>
        <b/>
        <sz val="10"/>
        <rFont val="Arial"/>
        <family val="2"/>
      </rPr>
      <t>Amber:</t>
    </r>
    <r>
      <rPr>
        <sz val="10"/>
        <rFont val="Arial"/>
        <family val="2"/>
      </rPr>
      <t xml:space="preserve"> 85-90% </t>
    </r>
    <r>
      <rPr>
        <b/>
        <sz val="10"/>
        <rFont val="Arial"/>
        <family val="2"/>
      </rPr>
      <t>Red:</t>
    </r>
    <r>
      <rPr>
        <sz val="10"/>
        <rFont val="Arial"/>
        <family val="2"/>
      </rPr>
      <t xml:space="preserve"> &lt;85%</t>
    </r>
  </si>
  <si>
    <r>
      <t>Green:</t>
    </r>
    <r>
      <rPr>
        <sz val="10"/>
        <rFont val="Arial"/>
        <family val="2"/>
      </rPr>
      <t xml:space="preserve"> &lt;5% </t>
    </r>
    <r>
      <rPr>
        <b/>
        <sz val="10"/>
        <rFont val="Arial"/>
        <family val="2"/>
      </rPr>
      <t>Amber:</t>
    </r>
    <r>
      <rPr>
        <sz val="10"/>
        <rFont val="Arial"/>
        <family val="2"/>
      </rPr>
      <t xml:space="preserve"> 5-10% </t>
    </r>
    <r>
      <rPr>
        <b/>
        <sz val="10"/>
        <rFont val="Arial"/>
        <family val="2"/>
      </rPr>
      <t>Red:</t>
    </r>
    <r>
      <rPr>
        <sz val="10"/>
        <rFont val="Arial"/>
        <family val="2"/>
      </rPr>
      <t xml:space="preserve"> &gt;10%</t>
    </r>
  </si>
  <si>
    <r>
      <t>Green:</t>
    </r>
    <r>
      <rPr>
        <sz val="10"/>
        <rFont val="Arial"/>
        <family val="2"/>
      </rPr>
      <t xml:space="preserve"> &gt;98% </t>
    </r>
    <r>
      <rPr>
        <b/>
        <sz val="10"/>
        <rFont val="Arial"/>
        <family val="2"/>
      </rPr>
      <t>Amber:</t>
    </r>
    <r>
      <rPr>
        <sz val="10"/>
        <rFont val="Arial"/>
        <family val="2"/>
      </rPr>
      <t xml:space="preserve"> 95-98% </t>
    </r>
    <r>
      <rPr>
        <b/>
        <sz val="10"/>
        <rFont val="Arial"/>
        <family val="2"/>
      </rPr>
      <t>Red:</t>
    </r>
    <r>
      <rPr>
        <sz val="10"/>
        <rFont val="Arial"/>
        <family val="2"/>
      </rPr>
      <t xml:space="preserve"> &lt;95%</t>
    </r>
  </si>
  <si>
    <r>
      <t>Green:</t>
    </r>
    <r>
      <rPr>
        <sz val="10"/>
        <rFont val="Arial"/>
        <family val="2"/>
      </rPr>
      <t xml:space="preserve"> &gt;95% </t>
    </r>
    <r>
      <rPr>
        <b/>
        <sz val="10"/>
        <rFont val="Arial"/>
        <family val="2"/>
      </rPr>
      <t>Amber:</t>
    </r>
    <r>
      <rPr>
        <sz val="10"/>
        <rFont val="Arial"/>
        <family val="2"/>
      </rPr>
      <t xml:space="preserve"> 90-95% </t>
    </r>
    <r>
      <rPr>
        <b/>
        <sz val="10"/>
        <rFont val="Arial"/>
        <family val="2"/>
      </rPr>
      <t>Red:</t>
    </r>
    <r>
      <rPr>
        <sz val="10"/>
        <rFont val="Arial"/>
        <family val="2"/>
      </rPr>
      <t xml:space="preserve"> &lt;90%</t>
    </r>
  </si>
  <si>
    <r>
      <t>Green:</t>
    </r>
    <r>
      <rPr>
        <sz val="10"/>
        <rFont val="Arial"/>
        <family val="2"/>
      </rPr>
      <t xml:space="preserve"> &lt;28 days </t>
    </r>
    <r>
      <rPr>
        <b/>
        <sz val="10"/>
        <rFont val="Arial"/>
        <family val="2"/>
      </rPr>
      <t>Amber:</t>
    </r>
    <r>
      <rPr>
        <sz val="10"/>
        <rFont val="Arial"/>
        <family val="2"/>
      </rPr>
      <t xml:space="preserve"> 28-35 days </t>
    </r>
    <r>
      <rPr>
        <b/>
        <sz val="10"/>
        <rFont val="Arial"/>
        <family val="2"/>
      </rPr>
      <t>Red:</t>
    </r>
    <r>
      <rPr>
        <sz val="10"/>
        <rFont val="Arial"/>
        <family val="2"/>
      </rPr>
      <t xml:space="preserve"> &gt;35 days</t>
    </r>
  </si>
  <si>
    <r>
      <t>Green:</t>
    </r>
    <r>
      <rPr>
        <sz val="10"/>
        <rFont val="Arial"/>
        <family val="2"/>
      </rPr>
      <t xml:space="preserve"> &lt;3% </t>
    </r>
    <r>
      <rPr>
        <b/>
        <sz val="10"/>
        <rFont val="Arial"/>
        <family val="2"/>
      </rPr>
      <t>Amber:</t>
    </r>
    <r>
      <rPr>
        <sz val="10"/>
        <rFont val="Arial"/>
        <family val="2"/>
      </rPr>
      <t xml:space="preserve"> 3-5% </t>
    </r>
    <r>
      <rPr>
        <b/>
        <sz val="10"/>
        <rFont val="Arial"/>
        <family val="2"/>
      </rPr>
      <t>Red:</t>
    </r>
    <r>
      <rPr>
        <sz val="10"/>
        <rFont val="Arial"/>
        <family val="2"/>
      </rPr>
      <t xml:space="preserve"> &gt;5%</t>
    </r>
  </si>
  <si>
    <t>Ensure social value and community benefit</t>
  </si>
  <si>
    <t>Social Value Delivery Rate</t>
  </si>
  <si>
    <t>(Social Value Commitments Delivered ÷ Total Social Value Commitments) × 100%</t>
  </si>
  <si>
    <t>Social Value Compliance Score</t>
  </si>
  <si>
    <t>(Social Value Requirements Met ÷ Total Social Value Requirements) × 100%</t>
  </si>
  <si>
    <t>Social Value</t>
  </si>
  <si>
    <t>Meet community commitments and Council priorities</t>
  </si>
  <si>
    <t>&lt;90% compliance</t>
  </si>
  <si>
    <t>Community Engagement Risk Score</t>
  </si>
  <si>
    <t>Protect community relations and programme support</t>
  </si>
  <si>
    <t>Monitor programme forecast accuracy and delivery confidence</t>
  </si>
  <si>
    <t>Monthly Forecast Movement Summary</t>
  </si>
  <si>
    <t>((Current Month Forecast - Previous Month Forecast) ÷ Previous Month Forecast) × 100%</t>
  </si>
  <si>
    <t>&lt;5% monthly variance</t>
  </si>
  <si>
    <t>Forecast Volatility Index</t>
  </si>
  <si>
    <t>Standard Deviation of Monthly Forecast Changes over 12 months</t>
  </si>
  <si>
    <t>Ensure predictable delivery and stakeholder confidence</t>
  </si>
  <si>
    <t>&gt;5% monthly variance</t>
  </si>
  <si>
    <t>Planning Accuracy Score</t>
  </si>
  <si>
    <t>(Actual Delivery ÷ Forecasted Delivery) × 100%</t>
  </si>
  <si>
    <r>
      <t>Green:</t>
    </r>
    <r>
      <rPr>
        <sz val="10"/>
        <rFont val="Arial"/>
        <family val="2"/>
      </rPr>
      <t xml:space="preserve"> 95-105% </t>
    </r>
    <r>
      <rPr>
        <b/>
        <sz val="10"/>
        <rFont val="Arial"/>
        <family val="2"/>
      </rPr>
      <t>Amber:</t>
    </r>
    <r>
      <rPr>
        <sz val="10"/>
        <rFont val="Arial"/>
        <family val="2"/>
      </rPr>
      <t xml:space="preserve"> 90-95% or 105-110% </t>
    </r>
    <r>
      <rPr>
        <b/>
        <sz val="10"/>
        <rFont val="Arial"/>
        <family val="2"/>
      </rPr>
      <t>Red:</t>
    </r>
    <r>
      <rPr>
        <sz val="10"/>
        <rFont val="Arial"/>
        <family val="2"/>
      </rPr>
      <t xml:space="preserve"> &lt;90% or &gt;110%</t>
    </r>
  </si>
  <si>
    <t>Maintain credible programme planning and reporting</t>
  </si>
  <si>
    <t>Outside 90-110% range</t>
  </si>
  <si>
    <t>Review Frequency</t>
  </si>
  <si>
    <t>Monthly</t>
  </si>
  <si>
    <t>Daily</t>
  </si>
  <si>
    <t>Weekly</t>
  </si>
  <si>
    <t>Consolidated Programme Objectives, KPIs, KRIs &amp; Risk Appetite Framework</t>
  </si>
  <si>
    <t>&lt;2%</t>
  </si>
  <si>
    <t>&lt;0.5</t>
  </si>
  <si>
    <t>Southwark Construction Programme - Board-Approved Risk Appetite Framework</t>
  </si>
  <si>
    <t>Overall Risk Appetite Declaration</t>
  </si>
  <si>
    <t>Risk Philosophy &amp; Core Principles</t>
  </si>
  <si>
    <r>
      <t>Sustainable Delivery:</t>
    </r>
    <r>
      <rPr>
        <sz val="10"/>
        <rFont val="Arial"/>
        <family val="2"/>
      </rPr>
      <t xml:space="preserve"> Risk-taking must support long-term programme objectives and value for money</t>
    </r>
  </si>
  <si>
    <r>
      <t>13. GLA Processing (28 days)</t>
    </r>
    <r>
      <rPr>
        <sz val="10"/>
        <rFont val="Arial"/>
        <family val="2"/>
      </rPr>
      <t xml:space="preserve"> - Double target time, approval bottleneck</t>
    </r>
  </si>
  <si>
    <t>Conclusion</t>
  </si>
  <si>
    <t>Percentage Risk (Void Property Risk Exposure)</t>
  </si>
  <si>
    <t>Percentage Risk (Budget Variance Rate)</t>
  </si>
  <si>
    <t>Finance Director</t>
  </si>
  <si>
    <t>Percentage Risk (Expected Annual Loss Ratio)</t>
  </si>
  <si>
    <t>Time Risk (Cash Flow Risk Indicator)</t>
  </si>
  <si>
    <t>Score Risk (Cost Inflation Risk Score)</t>
  </si>
  <si>
    <t>Percentage Risk (Market Rate Variance)</t>
  </si>
  <si>
    <t>Rate Risk (Accident Frequency Rate)</t>
  </si>
  <si>
    <t>0.8 per 100k hours</t>
  </si>
  <si>
    <t>H&amp;S Manager</t>
  </si>
  <si>
    <t>Score Risk (Lone Working Risk Score)</t>
  </si>
  <si>
    <t>Percentage Risk (Safety Compliance Score)</t>
  </si>
  <si>
    <t>Score Risk (PCR 2015 Risk Score)</t>
  </si>
  <si>
    <t>Percentage Risk (Contractor Performance Score)</t>
  </si>
  <si>
    <t>Procurement Manager</t>
  </si>
  <si>
    <t>Time Risk (Procurement Cycle Time)</t>
  </si>
  <si>
    <t>Index Risk (Schedule Performance Index)</t>
  </si>
  <si>
    <t>Programme Director</t>
  </si>
  <si>
    <t>Score Risk (Data Integrity Risk Score)</t>
  </si>
  <si>
    <t>Percentage Risk (Information Quality Percentage)</t>
  </si>
  <si>
    <t>Percentage Risk (Forecast Volatility Index)</t>
  </si>
  <si>
    <t>Percentage Risk (Planning Accuracy Score)</t>
  </si>
  <si>
    <t>Percentage Risk (Resource Utilization Rate)</t>
  </si>
  <si>
    <t>Resource Manager</t>
  </si>
  <si>
    <t>Percentage Risk (Skills Gap Index)</t>
  </si>
  <si>
    <t>Score Risk (Recruitment Risk Score)</t>
  </si>
  <si>
    <t>Time Risk (GLA Approval Processing Time)</t>
  </si>
  <si>
    <t>Count Risk (Compliance Breach Count)</t>
  </si>
  <si>
    <t>Percentage Risk (Social Value Compliance Score)</t>
  </si>
  <si>
    <t>Score Risk (Community Engagement Risk Score)</t>
  </si>
  <si>
    <t>2% exposure</t>
  </si>
  <si>
    <t>3% variance</t>
  </si>
  <si>
    <t>3% ratio</t>
  </si>
  <si>
    <t>5% variance</t>
  </si>
  <si>
    <t>35 days average</t>
  </si>
  <si>
    <t>5% monthly variance</t>
  </si>
  <si>
    <t>10% skills gap</t>
  </si>
  <si>
    <t>21 days average</t>
  </si>
  <si>
    <t>1 per quarter</t>
  </si>
  <si>
    <t>KRI Current Value</t>
  </si>
  <si>
    <t>What KRI Breach Means for KPI</t>
  </si>
  <si>
    <t>Impact Assessment</t>
  </si>
  <si>
    <t>KPI Predicted Performance</t>
  </si>
  <si>
    <t>Deliver projects on time &amp; budget</t>
  </si>
  <si>
    <t>Budget component underperforming - projects 2.1% over budget reduces 50% budget weighting in success calculation</t>
  </si>
  <si>
    <t>MODERATE RISK</t>
  </si>
  <si>
    <t>Will reduce delivery success rate by 1-2 percentage points</t>
  </si>
  <si>
    <t>KPI at risk - combined with schedule issues will miss 90% target</t>
  </si>
  <si>
    <t>Schedule component underperforming - only 95% of planned value delivered indicates 5% schedule slippage</t>
  </si>
  <si>
    <t>Will reduce delivery success rate by 2-3 percentage points</t>
  </si>
  <si>
    <t>KPI at risk - combined with budget issues will miss 90% target</t>
  </si>
  <si>
    <t>Rental income loss of 2.5% causes revenue loss and increased maintenance costs impacting project budgets</t>
  </si>
  <si>
    <t>CRITICAL RISK</t>
  </si>
  <si>
    <t>Represents £25M+ in lost revenue directly undermining budget performance</t>
  </si>
  <si>
    <t>KPI will fail - void properties create unsustainable financial drain</t>
  </si>
  <si>
    <t>Protect public funds</t>
  </si>
  <si>
    <t>Massive financial exposure - current losses are 150% above target representing £25M in expected losses</t>
  </si>
  <si>
    <t>CRITICAL FAILURE</t>
  </si>
  <si>
    <t>KPI already failing at 5% vs 2% target</t>
  </si>
  <si>
    <r>
      <t>CURRENT FAILURE</t>
    </r>
    <r>
      <rPr>
        <sz val="10"/>
        <rFont val="Arial"/>
        <family val="2"/>
      </rPr>
      <t xml:space="preserve"> - £15M excess loss threatens programme viability</t>
    </r>
  </si>
  <si>
    <t>Liquidity constraint - only 3.2 months cash runway vs 6+ target creates pressure to rush expenditure</t>
  </si>
  <si>
    <t>HIGH RISK</t>
  </si>
  <si>
    <t>Cash pressure will force suboptimal spending decisions reducing CPI below 0.98</t>
  </si>
  <si>
    <t>KPI likely to fail - cash constraints compromise value delivery</t>
  </si>
  <si>
    <t>Zero preventable safety incidents</t>
  </si>
  <si>
    <t>Above industry benchmark - programme experiencing 60% more accidents than industry average</t>
  </si>
  <si>
    <t>ACTIVE FAILURE</t>
  </si>
  <si>
    <t>SPI currently at 0.8 vs &lt;0.5 target - 60% performance gap</t>
  </si>
  <si>
    <r>
      <t>CURRENT FAILURE</t>
    </r>
    <r>
      <rPr>
        <sz val="10"/>
        <rFont val="Arial"/>
        <family val="2"/>
      </rPr>
      <t xml:space="preserve"> - already exceeding acceptable accident levels</t>
    </r>
  </si>
  <si>
    <t>Extreme lone worker exposure - score of 12 vs &lt;3 threshold indicates 300% higher risk than acceptable</t>
  </si>
  <si>
    <t>This risk level virtually guarantees future incidents making zero-harm impossible</t>
  </si>
  <si>
    <r>
      <t>IMMINENT FAILURE</t>
    </r>
    <r>
      <rPr>
        <sz val="10"/>
        <rFont val="Arial"/>
        <family val="2"/>
      </rPr>
      <t xml:space="preserve"> - incidents are statistically inevitable</t>
    </r>
  </si>
  <si>
    <t>Systematic compliance failure - 6% of safety audits failing indicates poor safety management systems</t>
  </si>
  <si>
    <t>SYSTEM FAILURE</t>
  </si>
  <si>
    <t>Non-compliance creates legal exposure and increases incident probability</t>
  </si>
  <si>
    <r>
      <t>CURRENT FAILURE</t>
    </r>
    <r>
      <rPr>
        <sz val="10"/>
        <rFont val="Arial"/>
        <family val="2"/>
      </rPr>
      <t xml:space="preserve"> - compliance gaps undermine entire safety objective</t>
    </r>
  </si>
  <si>
    <t>Regulatory compliance</t>
  </si>
  <si>
    <t>Legal challenge risk - high probability of procurement challenges that could halt projects</t>
  </si>
  <si>
    <t>Each challenge could reduce compliance rate by 5-10% making 100% unachievable</t>
  </si>
  <si>
    <t>KPI will fail - legal challenges are highly probable</t>
  </si>
  <si>
    <t>Process failure - taking 100% longer than target (28 vs 14 days) indicates systematic breakdown</t>
  </si>
  <si>
    <t>PROCESS FAILURE</t>
  </si>
  <si>
    <t>Delayed approvals create compliance gaps and regulatory relationship strain</t>
  </si>
  <si>
    <t>KPI at risk - process failures compromise regulatory standing</t>
  </si>
  <si>
    <t>Active non-compliance - currently in breach of at least one regulatory requirement</t>
  </si>
  <si>
    <t>CURRENT BREACH</t>
  </si>
  <si>
    <t>Compliance rate already &lt;100% due to active breach</t>
  </si>
  <si>
    <r>
      <t>CURRENT FAILURE</t>
    </r>
    <r>
      <rPr>
        <sz val="10"/>
        <rFont val="Arial"/>
        <family val="2"/>
      </rPr>
      <t xml:space="preserve"> - 100% target already missed</t>
    </r>
  </si>
  <si>
    <t>Resource optimization</t>
  </si>
  <si>
    <t>Underutilization - resources only 82% utilized vs 90%+ threshold indicating poor resource management</t>
  </si>
  <si>
    <t>DIRECT FAILURE</t>
  </si>
  <si>
    <t>REI currently at 82% vs &gt;85% target - 3+ percentage point gap</t>
  </si>
  <si>
    <r>
      <t>CURRENT FAILURE</t>
    </r>
    <r>
      <rPr>
        <sz val="10"/>
        <rFont val="Arial"/>
        <family val="2"/>
      </rPr>
      <t xml:space="preserve"> - already below minimum efficiency threshold</t>
    </r>
  </si>
  <si>
    <t>Critical capability shortage - 15% of critical roles unfilled vs &lt;5% threshold</t>
  </si>
  <si>
    <t>CAPABILITY CRISIS</t>
  </si>
  <si>
    <t>SGC currently at 85% vs &gt;95% target - 10 percentage point gap</t>
  </si>
  <si>
    <r>
      <t>CURRENT FAILURE</t>
    </r>
    <r>
      <rPr>
        <sz val="10"/>
        <rFont val="Arial"/>
        <family val="2"/>
      </rPr>
      <t xml:space="preserve"> - massive skills shortage compromises delivery</t>
    </r>
  </si>
  <si>
    <t>Both Resource KPIs</t>
  </si>
  <si>
    <t>&gt;85% &amp; &gt;95%</t>
  </si>
  <si>
    <t>Recruitment system failure - high risk that recruitment cannot fill the skills gap</t>
  </si>
  <si>
    <t>Without effective recruitment both resource KPIs will continue deteriorating</t>
  </si>
  <si>
    <t>Both KPIs will worsen - recruitment failure perpetuates resource crisis</t>
  </si>
  <si>
    <t>Stakeholder confidence</t>
  </si>
  <si>
    <t>Reporting reliability issues - medium risk of inaccurate data undermining stakeholder confidence</t>
  </si>
  <si>
    <t>Poor data quality will erode stakeholder trust reducing satisfaction scores</t>
  </si>
  <si>
    <t>KPI at risk - stakeholders losing confidence in programme reporting</t>
  </si>
  <si>
    <t>Systematic data quality failure - only 85% of data validations passing vs 95%+ required</t>
  </si>
  <si>
    <t>QUALITY FAILURE</t>
  </si>
  <si>
    <t>IQI already at 85% vs &gt;95% target - 10+ percentage point gap</t>
  </si>
  <si>
    <r>
      <t>CURRENT FAILURE</t>
    </r>
    <r>
      <rPr>
        <sz val="10"/>
        <rFont val="Arial"/>
        <family val="2"/>
      </rPr>
      <t xml:space="preserve"> - information quality unacceptably poor</t>
    </r>
  </si>
  <si>
    <t>Contractor performance</t>
  </si>
  <si>
    <t>Below minimum standards - weighted performance at 87% vs 90%+ required across delivery/quality/safety/commercial</t>
  </si>
  <si>
    <t>PERFORMANCE FAILURE</t>
  </si>
  <si>
    <t>CPI currently at 87% vs &gt;90% target - 3+ percentage point gap</t>
  </si>
  <si>
    <r>
      <t>CURRENT FAILURE</t>
    </r>
    <r>
      <rPr>
        <sz val="10"/>
        <rFont val="Arial"/>
        <family val="2"/>
      </rPr>
      <t xml:space="preserve"> - contractors not meeting minimum standards</t>
    </r>
  </si>
  <si>
    <t>Process inefficiency - taking 61% longer than target (45 vs 28 days) undermines competitive procurement</t>
  </si>
  <si>
    <t>Extended cycles reduce competition and compromise contractor quality</t>
  </si>
  <si>
    <t>KPI will worsen - poor procurement processes select substandard contractors</t>
  </si>
  <si>
    <t>Value for money</t>
  </si>
  <si>
    <t>Market volatility exposure - inflation risk could undermine value engineering opportunities</t>
  </si>
  <si>
    <t>MARKET RISK</t>
  </si>
  <si>
    <t>Cost inflation will reduce achievable savings making 75% target harder</t>
  </si>
  <si>
    <t>KPI at risk - market conditions may prevent value achievement</t>
  </si>
  <si>
    <t>Budget vs market gap - variance in market rates vs budgeted rates affects value engineering potential</t>
  </si>
  <si>
    <t>BUDGET RISK</t>
  </si>
  <si>
    <t>Significant variance will limit value engineering opportunities</t>
  </si>
  <si>
    <t>KPI uncertain - market conditions will determine achievability</t>
  </si>
  <si>
    <t>Social value delivery</t>
  </si>
  <si>
    <t>Commitment tracking gap - unknown compliance level creates delivery uncertainty</t>
  </si>
  <si>
    <t>MONITORING GAP</t>
  </si>
  <si>
    <t>Without compliance tracking delivery rate cannot be assured</t>
  </si>
  <si>
    <t>KPI uncertain - lack of monitoring prevents performance assessment</t>
  </si>
  <si>
    <t>Community relations risk - poor engagement could undermine social value delivery</t>
  </si>
  <si>
    <t>RELATIONSHIP RISK</t>
  </si>
  <si>
    <t>Community resistance will reduce social value achievement</t>
  </si>
  <si>
    <t>KPI at risk - community buy-in essential for social value success</t>
  </si>
  <si>
    <t>Programme forecast accuracy</t>
  </si>
  <si>
    <t>Monthly Forecast Movement</t>
  </si>
  <si>
    <t>Planning instability - high volatility indicates poor forecasting capability</t>
  </si>
  <si>
    <t>PLANNING RISK</t>
  </si>
  <si>
    <t>Volatile forecasting will exceed 5% monthly variance threshold</t>
  </si>
  <si>
    <t>KPI likely to fail - current programme instability suggests high volatility</t>
  </si>
  <si>
    <t>Forecast reliability gap - poor planning accuracy will cause forecast movement volatility</t>
  </si>
  <si>
    <t>CREDIBILITY RISK</t>
  </si>
  <si>
    <t>Inaccurate planning will force frequent forecast revisions</t>
  </si>
  <si>
    <t>KPI at risk - planning quality directly impacts forecast stability</t>
  </si>
  <si>
    <t>OVERALL PROGRAMME HEALTH SUMMARY</t>
  </si>
  <si>
    <t>Status Category</t>
  </si>
  <si>
    <t>Count</t>
  </si>
  <si>
    <t>Critical Issues</t>
  </si>
  <si>
    <t>REI: (Actual ÷ Planned Hours) × 100% / SGC: ((Required - Unfilled) ÷ Required) × 100%</t>
  </si>
  <si>
    <r>
      <t>Residents First:</t>
    </r>
    <r>
      <rPr>
        <sz val="10"/>
        <rFont val="Arial"/>
        <family val="2"/>
      </rPr>
      <t xml:space="preserve"> No risk should compromise resident safety, housing quality, or service delivery 
</t>
    </r>
    <r>
      <rPr>
        <b/>
        <sz val="10"/>
        <rFont val="Arial"/>
        <family val="2"/>
      </rPr>
      <t>Public Accountability:</t>
    </r>
    <r>
      <rPr>
        <sz val="10"/>
        <rFont val="Arial"/>
        <family val="2"/>
      </rPr>
      <t xml:space="preserve"> Full compliance with all regulations and responsible stewardship of public funds</t>
    </r>
  </si>
  <si>
    <t>KRI Status Analysis &amp; Evalution</t>
  </si>
  <si>
    <t>KPI Current Value</t>
  </si>
  <si>
    <r>
      <t>Overall Statement:</t>
    </r>
    <r>
      <rPr>
        <sz val="12"/>
        <rFont val="Arial"/>
        <family val="2"/>
      </rPr>
      <t xml:space="preserve"> Southwark Construction Programme maintains a conservative risk appetite aligned with its strategic objectives of delivering high-quality affordable housing, protecting public funds, and ensuring resident safety. The programme is willing to accept calculated risks that support delivery excellence while maintaining strong safety standards, regulatory compliance, and stakeholder confidence.</t>
    </r>
  </si>
  <si>
    <r>
      <t>Effective Date:</t>
    </r>
    <r>
      <rPr>
        <sz val="11"/>
        <rFont val="Arial"/>
        <family val="2"/>
      </rPr>
      <t xml:space="preserve"> June 2025 | </t>
    </r>
    <r>
      <rPr>
        <b/>
        <sz val="11"/>
        <rFont val="Arial"/>
        <family val="2"/>
      </rPr>
      <t>Next Review:</t>
    </r>
    <r>
      <rPr>
        <sz val="11"/>
        <rFont val="Arial"/>
        <family val="2"/>
      </rPr>
      <t xml:space="preserve"> December 2025 | </t>
    </r>
    <r>
      <rPr>
        <b/>
        <sz val="11"/>
        <rFont val="Arial"/>
        <family val="2"/>
      </rPr>
      <t>Board Approval:</t>
    </r>
    <r>
      <rPr>
        <sz val="11"/>
        <rFont val="Arial"/>
        <family val="2"/>
      </rPr>
      <t xml:space="preserve"> [To be approved]</t>
    </r>
  </si>
  <si>
    <t>Southwark Construction Programme - KRI &amp; KPI Current Dashboard</t>
  </si>
  <si>
    <t>Input A</t>
  </si>
  <si>
    <t>Input B</t>
  </si>
  <si>
    <t>1-2%</t>
  </si>
  <si>
    <t>&gt;2%</t>
  </si>
  <si>
    <t>2-3%</t>
  </si>
  <si>
    <t>&gt;6 months</t>
  </si>
  <si>
    <t>3-6 months</t>
  </si>
  <si>
    <t>&lt;3 months</t>
  </si>
  <si>
    <t>&lt;3%</t>
  </si>
  <si>
    <t>3-5%</t>
  </si>
  <si>
    <t>&gt;5%</t>
  </si>
  <si>
    <t>0.1-0.5</t>
  </si>
  <si>
    <t>&gt;0.5</t>
  </si>
  <si>
    <t>95-99%</t>
  </si>
  <si>
    <t>&lt;95%</t>
  </si>
  <si>
    <t>&gt;4</t>
  </si>
  <si>
    <t>90-95%</t>
  </si>
  <si>
    <t>&lt;90%</t>
  </si>
  <si>
    <t>&lt;28 days</t>
  </si>
  <si>
    <t>28-35 days</t>
  </si>
  <si>
    <t>&gt;35 days</t>
  </si>
  <si>
    <t>0.95-0.98</t>
  </si>
  <si>
    <t>&lt;0.95</t>
  </si>
  <si>
    <t>&gt;98%</t>
  </si>
  <si>
    <t>95-98%</t>
  </si>
  <si>
    <t>95-105%</t>
  </si>
  <si>
    <t>90-95% or 105-110%</t>
  </si>
  <si>
    <t>&lt;90% or &gt;110%</t>
  </si>
  <si>
    <t>85-90%</t>
  </si>
  <si>
    <t>&lt;85%</t>
  </si>
  <si>
    <t>5-10%</t>
  </si>
  <si>
    <t>&gt;10%</t>
  </si>
  <si>
    <t>&lt;14 days</t>
  </si>
  <si>
    <t>14-21 days</t>
  </si>
  <si>
    <t>&gt;21 days</t>
  </si>
  <si>
    <t>&gt;1</t>
  </si>
  <si>
    <t>Metric #</t>
  </si>
  <si>
    <t>Unit</t>
  </si>
  <si>
    <t>%</t>
  </si>
  <si>
    <t>days</t>
  </si>
  <si>
    <t>Input C</t>
  </si>
  <si>
    <t>Input D</t>
  </si>
  <si>
    <t>KPI Status</t>
  </si>
  <si>
    <t>KPI Impact Analysis Table</t>
  </si>
  <si>
    <t>KRI</t>
  </si>
  <si>
    <t>Objectives</t>
  </si>
  <si>
    <t>Threshold Limit</t>
  </si>
  <si>
    <t xml:space="preserve">KRI's - How we measure threats </t>
  </si>
  <si>
    <t>KRI Code</t>
  </si>
  <si>
    <t>KPI Code</t>
  </si>
  <si>
    <t>KPI_01</t>
  </si>
  <si>
    <t>KPI_02</t>
  </si>
  <si>
    <t>KPI_03</t>
  </si>
  <si>
    <t>KPI_10</t>
  </si>
  <si>
    <t>KPI_17</t>
  </si>
  <si>
    <t>KPI_25</t>
  </si>
  <si>
    <t>KPI_26</t>
  </si>
  <si>
    <t>KPI_27</t>
  </si>
  <si>
    <t>KPI_28</t>
  </si>
  <si>
    <t>KPI_68</t>
  </si>
  <si>
    <t>Budget Variance Percentage</t>
  </si>
  <si>
    <t>(Actual Spend - Approved Budget) ÷ Approved Budget × 100%</t>
  </si>
  <si>
    <t>Quarterly</t>
  </si>
  <si>
    <t>Control programme financial performance</t>
  </si>
  <si>
    <t>Achieve zero harm objective</t>
  </si>
  <si>
    <t>Planning Permission Success Rate</t>
  </si>
  <si>
    <t>(Planning Applications Approved ÷ Planning Applications Submitted) × 100%</t>
  </si>
  <si>
    <t>Building Regulation Compliance</t>
  </si>
  <si>
    <t>(Building Reg Approvals First Time ÷ Total Building Reg Applications) × 100%</t>
  </si>
  <si>
    <t>Secure necessary approvals</t>
  </si>
  <si>
    <t>Total N Associated Risks</t>
  </si>
  <si>
    <t>Impact
1 to 52</t>
  </si>
  <si>
    <t>Likelihood
1 to 53</t>
  </si>
  <si>
    <t>Linked KRI</t>
  </si>
  <si>
    <t>Notes</t>
  </si>
  <si>
    <t>&gt;15%</t>
  </si>
  <si>
    <t>&gt;0.8</t>
  </si>
  <si>
    <t>&lt;75%</t>
  </si>
  <si>
    <t>75-85%</t>
  </si>
  <si>
    <t>Label</t>
  </si>
  <si>
    <t>Critical Risk</t>
  </si>
  <si>
    <t>RISK REGISTER STATUS UPDATES</t>
  </si>
  <si>
    <r>
      <t>Dashboard Date:</t>
    </r>
    <r>
      <rPr>
        <sz val="18"/>
        <color theme="0"/>
        <rFont val="Arial"/>
        <family val="2"/>
      </rPr>
      <t xml:space="preserve"> June 10, 2025 | </t>
    </r>
    <r>
      <rPr>
        <b/>
        <sz val="18"/>
        <color theme="0"/>
        <rFont val="Arial"/>
        <family val="2"/>
      </rPr>
      <t>Report Owner:</t>
    </r>
    <r>
      <rPr>
        <sz val="18"/>
        <color theme="0"/>
        <rFont val="Arial"/>
        <family val="2"/>
      </rPr>
      <t xml:space="preserve"> Programme Director | </t>
    </r>
    <r>
      <rPr>
        <b/>
        <sz val="18"/>
        <color theme="0"/>
        <rFont val="Arial"/>
        <family val="2"/>
      </rPr>
      <t>Review Frequency:</t>
    </r>
    <r>
      <rPr>
        <sz val="18"/>
        <color theme="0"/>
        <rFont val="Arial"/>
        <family val="2"/>
      </rPr>
      <t xml:space="preserve"> Weekly</t>
    </r>
  </si>
  <si>
    <t xml:space="preserve">SOUTHWARK CONSTRUCTIONS RISK DASHBOARD </t>
  </si>
  <si>
    <t>OVERALL KPI Assesment</t>
  </si>
  <si>
    <t>KRI INFORMATION</t>
  </si>
  <si>
    <t>KPI INFORMATION</t>
  </si>
  <si>
    <t>Description</t>
  </si>
  <si>
    <t>Risk Appetite Alignment Analysis</t>
  </si>
  <si>
    <t>Performance outside acceptable risk appetite</t>
  </si>
  <si>
    <t>Performance within risk appetite boundaries</t>
  </si>
  <si>
    <t>Residual Risk Summary</t>
  </si>
  <si>
    <t>TD</t>
  </si>
  <si>
    <t>When there is a need to define the values of either New score or Target apettite score</t>
  </si>
  <si>
    <t>PY</t>
  </si>
  <si>
    <t>CY</t>
  </si>
  <si>
    <t>V</t>
  </si>
  <si>
    <t>X</t>
  </si>
  <si>
    <t>Distribution</t>
  </si>
  <si>
    <t>Risk Category Performance</t>
  </si>
  <si>
    <t>Target Value</t>
  </si>
  <si>
    <t>Comparaison Graph</t>
  </si>
  <si>
    <t>KPI Current/Target PREDICTION</t>
  </si>
  <si>
    <t>🔴 RED KRIs</t>
  </si>
  <si>
    <t>Critical Escalation Trigger Count</t>
  </si>
  <si>
    <t>🔵 Review Frequency</t>
  </si>
  <si>
    <t>🔵 Business Justification</t>
  </si>
  <si>
    <t>🟢 Sample Input Data</t>
  </si>
  <si>
    <t>🟢 Sample Result</t>
  </si>
  <si>
    <t>80-85%</t>
  </si>
  <si>
    <t>0.5-0.8</t>
  </si>
  <si>
    <r>
      <t>🔵</t>
    </r>
    <r>
      <rPr>
        <b/>
        <sz val="12"/>
        <color theme="0"/>
        <rFont val="Arial"/>
        <family val="2"/>
      </rPr>
      <t xml:space="preserve"> Escalation Trigger</t>
    </r>
  </si>
  <si>
    <r>
      <t>🟢</t>
    </r>
    <r>
      <rPr>
        <b/>
        <sz val="12"/>
        <color theme="0"/>
        <rFont val="Arial"/>
        <family val="2"/>
      </rPr>
      <t xml:space="preserve"> Sample Result</t>
    </r>
  </si>
  <si>
    <t>&lt;15%</t>
  </si>
  <si>
    <t>15-25%</t>
  </si>
  <si>
    <t>&gt;25%</t>
  </si>
  <si>
    <t>Sample Inputs</t>
  </si>
  <si>
    <t>Sample Input Data</t>
  </si>
  <si>
    <t>&gt;80%</t>
  </si>
  <si>
    <t>KPI_05</t>
  </si>
  <si>
    <t>Defect Resolution Rate</t>
  </si>
  <si>
    <t>(Defects Resolved Within SLA ÷ Total Defects Reported) × 100%</t>
  </si>
  <si>
    <t>Maintain construction quality standards</t>
  </si>
  <si>
    <t>KPI_06</t>
  </si>
  <si>
    <t>Change Order Impact</t>
  </si>
  <si>
    <t>(Change Order Costs ÷ Original Contract Value) × 100%</t>
  </si>
  <si>
    <t>Control scope creep and variations</t>
  </si>
  <si>
    <t>60-75%</t>
  </si>
  <si>
    <t>&lt;60%</t>
  </si>
  <si>
    <t>KPI_13</t>
  </si>
  <si>
    <t>&lt;50%</t>
  </si>
  <si>
    <t>KPI_35</t>
  </si>
  <si>
    <t>Critical Role Fill Rate</t>
  </si>
  <si>
    <t>(Critical Roles Filled ÷ Total Critical Roles) × 100%</t>
  </si>
  <si>
    <t>70-80%</t>
  </si>
  <si>
    <t>&lt;70%</t>
  </si>
  <si>
    <t>KPI_41</t>
  </si>
  <si>
    <t>Maintain stakeholder support</t>
  </si>
  <si>
    <t>KPI_43</t>
  </si>
  <si>
    <t>Community Engagement Effectiveness</t>
  </si>
  <si>
    <t>(Community Feedback Incorporated ÷ Total Community Feedback) × 100%</t>
  </si>
  <si>
    <t>Responsive to community needs</t>
  </si>
  <si>
    <t>KPI_44</t>
  </si>
  <si>
    <t>Complaint Resolution Rate</t>
  </si>
  <si>
    <t>(Complaints Resolved Within SLA ÷ Total Complaints) × 100%</t>
  </si>
  <si>
    <t>KPI_49</t>
  </si>
  <si>
    <t>KPI_52</t>
  </si>
  <si>
    <t>Quality Assurance Success</t>
  </si>
  <si>
    <t>(Quality Inspections Passed First Time ÷ Total Quality Inspections) × 100%</t>
  </si>
  <si>
    <t>Maintain construction quality</t>
  </si>
  <si>
    <t>KPI_53</t>
  </si>
  <si>
    <t>Contract Dispute Resolution</t>
  </si>
  <si>
    <t>Average Days to Resolve Contract Disputes</t>
  </si>
  <si>
    <t>&lt;60 days</t>
  </si>
  <si>
    <t>60-90 days</t>
  </si>
  <si>
    <t>&gt;90 days</t>
  </si>
  <si>
    <t>Per dispute</t>
  </si>
  <si>
    <t>Swift dispute resolution</t>
  </si>
  <si>
    <t>KPI_54</t>
  </si>
  <si>
    <t>Supplier Financial Stability</t>
  </si>
  <si>
    <t>(Financially Stable Suppliers ÷ Total Key Suppliers) × 100%</t>
  </si>
  <si>
    <t>Maintain stable supply chain</t>
  </si>
  <si>
    <t>KPI_61</t>
  </si>
  <si>
    <t>KPI_63</t>
  </si>
  <si>
    <t>KPI_64</t>
  </si>
  <si>
    <t>KPI_66</t>
  </si>
  <si>
    <t>&lt;25%</t>
  </si>
  <si>
    <t>&gt;40%</t>
  </si>
  <si>
    <t>KPI_74</t>
  </si>
  <si>
    <t>Cost Forecast Accuracy</t>
  </si>
  <si>
    <t>(Actual Costs ÷ Forecasted Costs) × 100%</t>
  </si>
  <si>
    <t>KPI_75</t>
  </si>
  <si>
    <t>Schedule Forecast Reliability</t>
  </si>
  <si>
    <t>(Actual Completion ÷ Forecasted Completion) × 100%</t>
  </si>
  <si>
    <t>Reliable schedule prediction</t>
  </si>
  <si>
    <t>Related KRI Description</t>
  </si>
  <si>
    <t>Deliver Projects on Time &amp; Budget</t>
  </si>
  <si>
    <t>Deliver Quality Homes</t>
  </si>
  <si>
    <t>±5%</t>
  </si>
  <si>
    <t>±5-8%</t>
  </si>
  <si>
    <t>&gt;±8%</t>
  </si>
  <si>
    <t>KPI_95</t>
  </si>
  <si>
    <t>Governance &amp; Compliance</t>
  </si>
  <si>
    <t>Stakeholder Confidence</t>
  </si>
  <si>
    <t>Deliver Projects Sustainably</t>
  </si>
  <si>
    <t>KPI_82</t>
  </si>
  <si>
    <t>Risk Management Effectiveness</t>
  </si>
  <si>
    <t>(High/Critical Risks With Active Mitigation ÷ Total High/Critical Risks) × 100%</t>
  </si>
  <si>
    <t>85-95%</t>
  </si>
  <si>
    <t>Keep major risks under control</t>
  </si>
  <si>
    <t>70-85%</t>
  </si>
  <si>
    <t>KPI_85</t>
  </si>
  <si>
    <t>Post-Occupancy Satisfaction</t>
  </si>
  <si>
    <t>(Satisfied Residents ÷ Survey Respondents) × 100%</t>
  </si>
  <si>
    <t>65-80%</t>
  </si>
  <si>
    <t>&lt;65%</t>
  </si>
  <si>
    <t>Ensure homes meet expectations</t>
  </si>
  <si>
    <t>75-90%</t>
  </si>
  <si>
    <t>KPI_89</t>
  </si>
  <si>
    <t>KPI_90</t>
  </si>
  <si>
    <t>KPI_91</t>
  </si>
  <si>
    <t>SME Spend Proportion</t>
  </si>
  <si>
    <t>(Contract Value to SMEs ÷ Total Contract Value) × 100%</t>
  </si>
  <si>
    <t>KPI_94</t>
  </si>
  <si>
    <t>Reporting Timeliness</t>
  </si>
  <si>
    <t>(Reports Submitted On Time ÷ Total Reports Due) × 100%</t>
  </si>
  <si>
    <t>Maintain transparency &amp; accountability</t>
  </si>
  <si>
    <t>KPI_96</t>
  </si>
  <si>
    <t>Benefits Realisation Rate</t>
  </si>
  <si>
    <t>KPI_97</t>
  </si>
  <si>
    <t>Project Outcome Alignment Index</t>
  </si>
  <si>
    <t>KPI_98</t>
  </si>
  <si>
    <t>Scope Adherence Rate</t>
  </si>
  <si>
    <t>KPI_99</t>
  </si>
  <si>
    <t>Business Case Cost Variance</t>
  </si>
  <si>
    <t>&lt;+5%</t>
  </si>
  <si>
    <t>+5% to +15%</t>
  </si>
  <si>
    <t>&gt;+15%</t>
  </si>
  <si>
    <t>Previous risk ref (if aplicable)</t>
  </si>
  <si>
    <t>Date Added to Issues Log</t>
  </si>
  <si>
    <t>Impacted projects</t>
  </si>
  <si>
    <t>Control owner</t>
  </si>
  <si>
    <t>Progress updates</t>
  </si>
  <si>
    <t>Date Updated</t>
  </si>
  <si>
    <t>To add to lessons learnt?</t>
  </si>
  <si>
    <t>Procurement exercise must specify the standards that must be achieved and there should also be greater scrutiny of costs. Added to programme lessons learnt.</t>
  </si>
  <si>
    <t>Add to lessons learnt, then close</t>
  </si>
  <si>
    <t>Resource business case developed by Southwark Construction team to support this requirement. 2 Rehousing officers commenced week commencing 2 July.</t>
  </si>
  <si>
    <t>Fire Safety Information Packs &amp; Management Plan: There is an ongoing lack of clarity regarding the ownership and provision of Fire Safety Information Packs (FSIPs) for new developments, particularly in relation to leasehold sales and resident onboarding. This issue has been raised repeatedly by Maeveen, and remains unresolved, posing a potential compliance and reputational risk.</t>
  </si>
  <si>
    <t>• A lead department must be identified to take ownership of the FSIP process.
• A clear, cross-departmental process should be established to:
1. Ensure FSIPs are available at the point of sales completion and tenancy start.
2. Define roles and responsibilities for content creation, approval, and distribution.
3. Ensure compliance with legal and regulatory obligations.
4. Timeline on when this needs to be pulled together
•This issue presents a compliance and reputational risk if not addressed promptly.</t>
  </si>
  <si>
    <t>PR_0052</t>
  </si>
  <si>
    <t>CCTV Provision and Management: There is currently no formalised provision for the management of CCTV systems installed on new build housing blocks. This gap in governance is creating operational uncertainty and requires strategic direction.</t>
  </si>
  <si>
    <t>• Ownership and accountability for ongoing CCTV management.
• Operational processes for data handling, access, and maintenance.
• Training and support for any team tasked with this responsibility.</t>
  </si>
  <si>
    <t>PR_0002</t>
  </si>
  <si>
    <t>PR_0007</t>
  </si>
  <si>
    <t>If the quality of scheme reporting data is poor, there is a risk that the information reported to internal and external stakeholders is incorrect, resulting in possible reputational risk and inability to effectively manage the councils cost flow, resource requirements and Corporate Plan objectives</t>
  </si>
  <si>
    <t xml:space="preserve"> - Staff to review data held when undertaking the project folder re-filing exercise and locate missing documentation as part of the process
- Data validation exercises to identify and resolve events of inconsistent data resulting from Pamwin implementation
 - Staff are fully trained and cognisant of the consequences of poor data integrity</t>
  </si>
  <si>
    <t>PR_0009</t>
  </si>
  <si>
    <t>If there is a delay in letting new properties there is a risk that there are extended void periods after handover, resulting in a loss of rental and Council Tax income, additional expenditure including security costs and legionella testing, potentially some deterioration of the properties and a risk of squatting or break-ins.</t>
  </si>
  <si>
    <t xml:space="preserve"> - Provide clarity to stakeholders on handover dates and what it means to different teams. If a building has reached PC it should be  let straight away. 
- Provide monthly updates to internal services responsible for the planning of allocations and lettings
- Review handover process incorporating changes to processes and lessons learnt
 - Manage the impact of the potential standstill period at Fire Safety related G2 by incorporating additional void costs in project appraisal
 - Negotiate with consultant / contractors where delays are either unforeseen or due to LB Southwark activity</t>
  </si>
  <si>
    <t>PR_0016</t>
  </si>
  <si>
    <t>If we do not correctly follow the lengthy and complicated leaseholder buyback process there is a risk of delay in achieving vacant possession, resulting in damage to the council's reputation, and in extreme cases delays and disruption to major estate renewal projects, leading to very high costs.</t>
  </si>
  <si>
    <t xml:space="preserve"> - Training on leaseholder buyback processes for SC staff
 - Review processes and procedures regarding leaseholder buyback and ensure SC is adhering to them
- Ensure close collaboration with Estates team, Home Ownership team and council surveyors
- Ensure consistenticy in approach across estate regeneration projects</t>
  </si>
  <si>
    <t>PR_0018</t>
  </si>
  <si>
    <t>If the cumulative impact of higher than predicted inflation, interest rates and/or increase in costs continues, schemes that were consider to be affordable at approval may no longer be affordable.</t>
  </si>
  <si>
    <r>
      <t xml:space="preserve"> - Adopt flexibility in contracts to allow for cost review and phasing
 - Refresh contract management procedures to ensure effective cost management at all project stages
- Review the forecast on a monthly basis using EA cost management reports (ensure they are up to date, check dates of last payment certificates)
</t>
    </r>
    <r>
      <rPr>
        <b/>
        <sz val="11"/>
        <rFont val="Arial"/>
        <family val="2"/>
      </rPr>
      <t/>
    </r>
  </si>
  <si>
    <t>PR_0020</t>
  </si>
  <si>
    <t xml:space="preserve">If property values start to fall it will have the impact of reducing the value of the expected capital receipts, adversely impacting overall scheme cost and rental yields </t>
  </si>
  <si>
    <t xml:space="preserve"> - Reappraise sales valuations at each Key Milestone point and prior to handover to develop sales strategy
- Reflect changes in sales receipts in project cashflow to provide accurate programme cashflow position</t>
  </si>
  <si>
    <t>PR_0024</t>
  </si>
  <si>
    <t>If a contractor, or subcontractor, ceases trading this could cause project delays, increase project costs and have reputational impacts</t>
  </si>
  <si>
    <t xml:space="preserve"> - Develop an action plan to enhance monitoring based on observations as well as through formal routes.
- Monitor sub-contractor usage and  whether payments are being made to them on time etc.
- Monitor contractors using FAME alerts (credit referencing)
- Ensure efficient decision making and timely payments so that contractors can have more certainly regarding their cashflow
- Monitor progress on site for early warning signs, e.g. performance issues, requests for urgent payments or payments in advance, difficulties retaining sub-contractors, delays in obtaining materials</t>
  </si>
  <si>
    <t>PR_0025</t>
  </si>
  <si>
    <t>If resource pressure within Building Control continues schemes will experience significant delays to scheme completion that incur financial costs to the council and require additional management measures to be put in place pending occupation.</t>
  </si>
  <si>
    <t xml:space="preserve"> - Carry out a cost exercise to estimate the overall cost impact of the delays to the council
- Hertfordshire Building Control have been brought in to take a look at some of the delayed schemes to review the position
- Consider changing ERs, or requirement to use ERs, for future programme to allow contractors to not use Southwark Building Control (not applicable to high rises as they will go to regulatory authority, not BC)
 - A Building Control tracker has been reinstated to track issues and Zoe Davies is meeting with Juliet Seymour monthly to monitor ongoing and new issues</t>
  </si>
  <si>
    <t>PR_0028</t>
  </si>
  <si>
    <t>If tenant decant or leaseholder buybacks required as part of a redevelopment scheme takes longer than planned it could lead to delays, which in turn impacts costs and the availability of grant funding</t>
  </si>
  <si>
    <t xml:space="preserve"> - Early enagagment with Resident Services
 - Regular communicaton of the VP deadlines to the Vacant Possession steering group
 - Due diligence at project design to make informed assumption of likely time required and allow contingency in critical path</t>
  </si>
  <si>
    <t>PR_0035</t>
  </si>
  <si>
    <t>As funds are diverted away from the new homes programme the council will need to adopt alternative approaches to generating income into the programme in order to deliver new affordable homes.</t>
  </si>
  <si>
    <t xml:space="preserve"> - Containing cost and forecasting/timing of payments is key to planning the overall picture
- Our need for borrowing for the new build programme is reducing with the move towards developer led schemes
 - Understanding and maximisation of our land value is key
- Work closely with finance to understand wider pressures on HRA and specific risk to schemes in the programme
- Monitor project cashflows closely
- Monthly reporting to HRA Budget Recovery Board (formerly HIB) in relation to HRA strategy</t>
  </si>
  <si>
    <t>PR_0039</t>
  </si>
  <si>
    <t>There is a scope gap between what lightning protection companies do and what our contractors do to satisfy those requirements. If we do not close this gap there is a risk that there may not be adequate protection on buildings, resulting in serious damage or harm to individuals. This will also have an impact on our insurance requirements.</t>
  </si>
  <si>
    <t xml:space="preserve">All PM’s have been advised that it’s the main contractor has priced the scheme to provide a safe system. This means a safe system across the building and services in its entirety. Therefore it’s the contractors responsibility to provide this will full certification. The certification needs to include all systems on the roof and if the lightning protection is installed at a different time to the PV panels and rest of the services on the roof then the certification needs to be redone when it’s all complete. For them to be able to prove that the adequate coverage is achieved we would suggest a rolling Sphere which would show that all roof mounted equipment was covered to be included in the design and review of the scheme. If there is concern in regards to the quality of the certification we receive (i.e. incomplete or caveated certification) , we reserve the right to appoint a third party consultant to ensure that the required lightning protection has been achieved. The cost of the third party consultant will be charged back to the contractor to pay for. </t>
  </si>
  <si>
    <t>PR_0040</t>
  </si>
  <si>
    <t>Delays to utilities works are considered to be 'relevant events' under our contracts and as such are valid reasons for extension of time submissions. If these works are not carried out in a timely fashion by the stutory undertakers there is a risk of delays to project delivery and financial and reputational damage to the overall programme.</t>
  </si>
  <si>
    <t xml:space="preserve"> - Utilise known contacts in utility companies and work with colleagues in SC and other teams to access these
- Consider use of Utilities Taskforce but this comes at a cost
- More investigative work and pre-work to be undertaken on sites
- Closer project management to ensure that everything possible is being done to programme utilities early - it should be planned in at the start of the project.
- Team needs to be more aware of timings around easements etc.
- Additional budget sums to put into future planning
- Ensure that contractor programmes include sufficient time in their programmes for statutory bodies to undertake utilities works and that those works are scheduled in with the utility companies as far in advance as possible. Ensure contractors are making best endeavours rather than accepting to allow for other delays</t>
  </si>
  <si>
    <t>PR_0042</t>
  </si>
  <si>
    <t xml:space="preserve">If we do not allocate and use our indicative grant on time there is a risk that the GLA will withdraw the funding, which presents a risk to our ability to deliver. </t>
  </si>
  <si>
    <t xml:space="preserve"> - Ensure confirmed projects submitted to the GLA in good time and ensure those schemes named in the grant allocation are successful.</t>
  </si>
  <si>
    <t>PR_0050</t>
  </si>
  <si>
    <t>If we do not have an EA scope of services and an agreed suite of documentation with regular scheduled updates that is enforced across all projects, particularly a seamless change management process, there is a risk of inconsistency and lack of clarity on cost increases.</t>
  </si>
  <si>
    <t>Discussions undertaken to provide clarity to EAs and PMs on roles and responsibilities throughout the design &amp; delivery process. PMs to ensure that the cost and budget plans are regularly reviewed with all changes assessed thoroughly before approvals. All changes to be formally logged as part of the change management process to ensure consistency.</t>
  </si>
  <si>
    <t>PR_0051</t>
  </si>
  <si>
    <t xml:space="preserve">If there continue to be increasing numbers of requests for extensions of time and financial penalties from contractors across various projects, there is a risk that such disputes will lead to more project delays, increased costs, and strained contractual relationships, impacting the council's operations and public trust.
</t>
  </si>
  <si>
    <t xml:space="preserve"> - Increase focus on contract workshops for staff
 - Manage EAs more closely and depend on them less for by increasing PM skills
 - Look at changing our procurement routes as what worked before does not suit where we are now
 - Issues on particular schemes to be escalated, and tracked and monitored at a programme level on a weekly basis, bringing in knowledge and skillsets from across the team
 - Work on contingencies before issuing instructions 
- Contract review and clarification to ensure understanding and set clear expectations 
- Dispute resolution mechanism to strength the existing resolution process and avoid litigation and resolve issues amicably
- Performance Monitoring to ensure contract compliance and satisfaction with the work delivered 
- Change management Protocol to streamline the process for managing and approving changes to prevent misunderstanding and disputes related to unapproved modification 
</t>
  </si>
  <si>
    <t>PR_0053</t>
  </si>
  <si>
    <t>There is currently no established guidance in the council that details key contacts and the process that is needed to set up PIN numbers and information for secure information boxes (SIBs), which are a requirement for buildings over 11 metres or 5 storeys. This presents a risk as it means that we are unable to advise contractors on the details to register and order these SIBs, which cause a delay to handover, and associated costs related to that.</t>
  </si>
  <si>
    <t xml:space="preserve"> - There have been further developments in regards to SIB and the SC design &amp; technical lead is liaising with other departments to create a SIB protocol to ensure all relevant teams are clear on responsibilities and timelines. </t>
  </si>
  <si>
    <t>PR_0056</t>
  </si>
  <si>
    <t>There is limited public funding available to the programme, which results in an increased dependency on external financing mechanisms. This presents a risk to our ability to deliver.</t>
  </si>
  <si>
    <t xml:space="preserve"> - Key spending to be mapped out against the programme to mitigate risk of spending too much, too quickly, and to account for external funding sources and governance approvals
- Explore various funding sources including government grants, public-private partnerships, and long-term financial instruments. Ensure transparency and regular financial reporting to stakeholders to maintain trust and accountability.
Consider the tenure mix and make it 50:50 to maximise income.</t>
  </si>
  <si>
    <t>PR_0065</t>
  </si>
  <si>
    <t>Plan a mix of tenure types and proportions early in the planning process to cater to various demographic needs on different sites.
Stay updated on changes to housing policy and adjust the programme plan accordingly, with milestones built in to update politicians and planners. Secure political buy-in and understanding of the constraints.
Work closely with planners on strategy going forward, including pre-apps.
Maximise our funding options by exploring all potential funding sources.</t>
  </si>
  <si>
    <t>PR_0069</t>
  </si>
  <si>
    <t>If there is a delay to the approval (taken by Cabinet) for the extension of SELCHP then this will have significant time and cost implications for the Tustin and Ledbury schemes (and also potentially Sceaux Gardens). Further delays would escalate costs for temporary boilers and potentially lead to delay in completing S278 works too.</t>
  </si>
  <si>
    <t>Consider whether to borrow some contingency money (£10M available in contingency to borrow as long as we know we can get it back) for this specifically in regard to Tustin as it puts the overall project at risk and Veolia are unwilling to fund pre-installation works
Install temporary boilers at Tustin to cover the period leading up to the long-stop date of August 2025. Temporary boilers ordered for Tustin between January-October 2025.
As Ledbury does not have a gas supply the alternative will be to use the oil supply to cover interim heating solutions there.
Utilise the existing gas supply at Sceaux Gardens to cover any interim periods until the network reaches there (it is the end of the line).</t>
  </si>
  <si>
    <t>PR_0070</t>
  </si>
  <si>
    <t>If we do not have a strong after-sales and long term management strategy for shared ownership and private sales properies there is a risk that homes won't sell easily and that homeowner satifaction will be low, resulting in ongoing complaints and long-term reputational damage to the council.</t>
  </si>
  <si>
    <t>Appoint a strategic Lead for Aftercare and scope the potential aftercare services that can/will be managed within the Southwark Construction team.
Consider the use of a management company for private and SO homes, potentially an internal departmental 'company'.</t>
  </si>
  <si>
    <t>PR_0071</t>
  </si>
  <si>
    <t>If we do not have the knowledge and skills in the team to implement the sales and marketing strategy for shared ownership and private sale homes in the programme then the council will not maximise the income potential and it will affect the council's reputation as a good developer</t>
  </si>
  <si>
    <t>Ensure that staff are equipped with the knowledge and skills needed</t>
  </si>
  <si>
    <t>PR_0072</t>
  </si>
  <si>
    <t>If we do not have the capacity or skills to effectively provide aftercare to residents during the defects period there is a reputational risk to Southwark Construction and the council. This risk is increased where the homes have been sold as shared ownership or in totality.</t>
  </si>
  <si>
    <t xml:space="preserve"> - Establish an approach to aftercare during the defects period and handover to mainstream council services at the end of the DLP
- Explore options available in the market to provide defects triage and support
- Continue stakeholder engagement with teams across the council in advance of starting the future programme - to establish parameters around service charges, 'segregated' spaces in mixed tenure developments, ongoing maintenance (particularly of new green technology) etc.
- Implement the new sales and marketing strategy, which incorporates an approach to the management of shared ownership homes in partnership with the council's home ownership team.</t>
  </si>
  <si>
    <t>PR_0073</t>
  </si>
  <si>
    <t>There is uncertainty around the Building Safety Act Gateways and the potential delays that could occur as a result, which could impact our ability to complete schemes within the timeframes set.</t>
  </si>
  <si>
    <t xml:space="preserve"> - Monitor schemes and gain market intel from our contractors and consultants
-  Conduct research with peers, reviewing the first schemes to go through this regime</t>
  </si>
  <si>
    <t>PR_0075</t>
  </si>
  <si>
    <t>Increases in build costs and the increased dependency on external financing mechanisms presents a risk to our ability to deliver new homes.</t>
  </si>
  <si>
    <t>Conduct an ER cost review to establish a high quality spec that fits that is affordable.
Benchmark market costs.
Continue to explore alternative funding sources, including government grants, public-private partnerships, and long-term financial instruments.
Ensure the tenure mix is balanced to maximise income.</t>
  </si>
  <si>
    <t>PR_0079</t>
  </si>
  <si>
    <t>There is a risk that we will be unable to revive our paused schemes, or take new schemes forward at pace, due to our limited funding opportunities.</t>
  </si>
  <si>
    <t>Model the various funding opportunities (GLA, RTB, S106) to maximise opportunities for the programme.
Meet with Planning colleagues to understand the S106 pipleine and discuss how we can access future S106 contributions to support the programme.</t>
  </si>
  <si>
    <t>PR_0080</t>
  </si>
  <si>
    <t>The dedicated estate renewal rehousing team has been disbanded. This resource gap presents a risk to our ability to achieve vacant possession, which is required to meet our phasing dates.</t>
  </si>
  <si>
    <t>Consider appointing dedicated resource within the Southwark Construction team to fill this gap.</t>
  </si>
  <si>
    <t>PR_0081</t>
  </si>
  <si>
    <t xml:space="preserve">If political pressure to meet our targets is the main driver for getting into contract for future schemes, we risk not conducting sufficient due diligence and having a programme that is adequately planned or costed, resulting in signifcant overruns and budgetary pressures.
</t>
  </si>
  <si>
    <t>Conduct a lessons learnt exercise to review the 2500 programme, specifically the effect of the pace of delivery.
Build a stock of potential sites into a rolling programme plan.</t>
  </si>
  <si>
    <t>PR_0082</t>
  </si>
  <si>
    <t>If practical completion dates continue to shift on sites with properties for sale buyers may withdraw or incur additional costs, affecting our sales pipeline and revenue forecast</t>
  </si>
  <si>
    <t>Proactively engage buyers; provide regular updates; offer financial support for mortgage extension fees; prepare contingency fund for reimbursements</t>
  </si>
  <si>
    <t>PR_0083</t>
  </si>
  <si>
    <t>If schemes continue to be delayed there is a risk of erosion of trust in the council resulting in reputational damage</t>
  </si>
  <si>
    <t>Publish a transparent timeline with clear milestones; issue formal apologies and explanations where delays occur</t>
  </si>
  <si>
    <t>PR_0084</t>
  </si>
  <si>
    <t>If we continue to see delays to S278 works there is a risk of delay to access and infrastructure readiness</t>
  </si>
  <si>
    <t>Fast-track legal signatures; coordinate closely with Highways for permit reactivation</t>
  </si>
  <si>
    <t>PR_0085</t>
  </si>
  <si>
    <t>If there are delays in starting the DA package sites there is a risk of significant impact on programme delivery and costs.</t>
  </si>
  <si>
    <t>Review DA packages readiness weekly.
Escalate delayed packages to senior leadership. 
Develop mitigation plan for site start acceleration and resource allocation.</t>
  </si>
  <si>
    <t>PR_0086</t>
  </si>
  <si>
    <t>If multiple workstreams in our current delivery programme continue to show orange/red progress, there is a risk of programme slippage, impacting timelines and costs.</t>
  </si>
  <si>
    <t>Strengthen programme controls &amp; reporting. 
Introduce critical path monitoring &amp; weekly review meetings. 
Escalate persistent delays to Programme Board for intervention.</t>
  </si>
  <si>
    <t>PR_0087</t>
  </si>
  <si>
    <t>Rental loss due to social rent homes not being let out for some time after PC.</t>
  </si>
  <si>
    <t>Date Added to Risk Register</t>
  </si>
  <si>
    <t>Impact
1 to 5</t>
  </si>
  <si>
    <t>Likelihood
1 to 5</t>
  </si>
  <si>
    <t>Risk response</t>
  </si>
  <si>
    <t>Risk review plan</t>
  </si>
  <si>
    <t>Last Review Date</t>
  </si>
  <si>
    <t>Next Review Date</t>
  </si>
  <si>
    <t>Progress Update</t>
  </si>
  <si>
    <t>Additional Controls</t>
  </si>
  <si>
    <t>Gross Impact (£)</t>
  </si>
  <si>
    <t>Gross Likelihood (probability / frequency)</t>
  </si>
  <si>
    <t>Gross ALE</t>
  </si>
  <si>
    <t>Residual Impact (£)</t>
  </si>
  <si>
    <t>Residual Likelihood (probability / frequency)</t>
  </si>
  <si>
    <t>Residual ALE</t>
  </si>
  <si>
    <t>Risk Reduction</t>
  </si>
  <si>
    <t>Risk Reduction (%)</t>
  </si>
  <si>
    <r>
      <t xml:space="preserve">The </t>
    </r>
    <r>
      <rPr>
        <b/>
        <i/>
        <sz val="8"/>
        <color theme="0"/>
        <rFont val="Arial Narrow"/>
        <family val="2"/>
      </rPr>
      <t>unique reference number</t>
    </r>
    <r>
      <rPr>
        <i/>
        <sz val="8"/>
        <color theme="0"/>
        <rFont val="Arial Narrow"/>
        <family val="2"/>
      </rPr>
      <t xml:space="preserve"> given to the identified risk – usually run in numerical order - e.g. PR_0001</t>
    </r>
  </si>
  <si>
    <t xml:space="preserve">The workstream with which the risk is associated </t>
  </si>
  <si>
    <t>Linked key risk indicator</t>
  </si>
  <si>
    <r>
      <rPr>
        <b/>
        <i/>
        <sz val="8"/>
        <color theme="0"/>
        <rFont val="Arial Narrow"/>
        <family val="2"/>
      </rPr>
      <t xml:space="preserve">A full description of the risk, impact and likelihood
</t>
    </r>
    <r>
      <rPr>
        <i/>
        <sz val="8"/>
        <color theme="0"/>
        <rFont val="Arial Narrow"/>
        <family val="2"/>
      </rPr>
      <t>Risks should follow the below format:
'If…………………..
Then there is a risk that………………………
Therefore/Resulting in…………………………'</t>
    </r>
  </si>
  <si>
    <r>
      <rPr>
        <b/>
        <i/>
        <sz val="8"/>
        <color theme="0"/>
        <rFont val="Arial Narrow"/>
        <family val="2"/>
      </rPr>
      <t>The senior business owner</t>
    </r>
    <r>
      <rPr>
        <i/>
        <sz val="8"/>
        <color theme="0"/>
        <rFont val="Arial Narrow"/>
        <family val="2"/>
      </rPr>
      <t xml:space="preserve"> of the risk who will be directly impacted should the risk be realised</t>
    </r>
  </si>
  <si>
    <t>The internal/external factors the risk is most closely associated with</t>
  </si>
  <si>
    <t>The impact that the risk would have if it occurs (5 highest)</t>
  </si>
  <si>
    <t>The Likelihood that the risk will occur (5 highest)</t>
  </si>
  <si>
    <t>Raw risk score before mitigating actions</t>
  </si>
  <si>
    <t>Select from drop down menu – Avoid, Reduce, Transfer, Accept</t>
  </si>
  <si>
    <t xml:space="preserve">A detailed list / description of the action(s) which are, or will be, in place to reduce or eliminate the effects of the risk. 
</t>
  </si>
  <si>
    <t>The accepteable level of tolerance that has been agreed for the risk</t>
  </si>
  <si>
    <t>Select from drop down menu – Accept, Review</t>
  </si>
  <si>
    <t>This column should be maintained with dated updates – with names included so that there is an audit trail of action – including agreement on reason for closure of the risk</t>
  </si>
  <si>
    <t>The person or body with the authority to close a risk. The closing authority may differ according to the level of risk, depending on the governance arrangements put in place</t>
  </si>
  <si>
    <t>ALE = annualised loss expectancy</t>
  </si>
  <si>
    <t>Avoid</t>
  </si>
  <si>
    <t>Accept</t>
  </si>
  <si>
    <t>PMO (SW/AB)</t>
  </si>
  <si>
    <t>If staff do not have access to, understand and use the lone working guidance and toolkit, there is a risk to welfare and personal safety, which could lead to increased staff sickness or personal injury, resulting in resourcing issues, legal action and financial penalties</t>
  </si>
  <si>
    <t>Reduce</t>
  </si>
  <si>
    <t xml:space="preserve"> - Review delivery programme and adjust for affordability and the need for a greater degree of self financing
 - Explore different sources of funding
 - Engage with incoming Section 151 Officer along with other stakeholders including politicians to confirm commitment to a programme of delivery</t>
  </si>
  <si>
    <t>If the overall staff capacity in the Southwark Construction team does not meet the demands on programme, then the pace or quality of delivery may suffer</t>
  </si>
  <si>
    <t xml:space="preserve"> - Carry out recruitment campaign to fill vacant established posts
- Regularly review resourcing across the team through the monthly Resource meetings with Strategic Leads
- Review the resourcing requirements of the 2026+ programme as this develops</t>
  </si>
  <si>
    <t>If recruitment and retention issues arise there is a risk that there will be gaps in capabilities, resulting in additional pressures on staff who remain and there not enough staff to deliver the programme</t>
  </si>
  <si>
    <t>Internal - Rites</t>
  </si>
  <si>
    <t xml:space="preserve"> - Robust staff onboarding to expand focus on organisational culture and how mutually beneficial it would be
 - Highlight staff development opportunities including mentorship, routes to training and guidance as a way to foster retention and support CPD
 - Support a positive work life balance
 - Develop a business continuity plan to include succession planning and a crisis management plan</t>
  </si>
  <si>
    <t>If the council is subject to rent capping, there is a risk that the schemes could become unviable and will not recoup costs as quickly as planned. This may reduce future borrowing capacity to fund delivery of new homes</t>
  </si>
  <si>
    <t xml:space="preserve"> - Work closely with Finance to understand implication at programme level and reflect in reporting to HIB
- All key financial decusions (GWs and KMs) to review pressures on Council resources
- Review of programme to align delivery of outcomes with affordability</t>
  </si>
  <si>
    <t>Fortnightly Programme Review</t>
  </si>
  <si>
    <t>Increases in construction costs result in more claims from contractors. If the costs cannot be managed within the current scheme budget or programme envelope then this may mean schemes have to be paused or that other schemes cannot go ahead.</t>
  </si>
  <si>
    <t>Teams to manage approved contingencies to minimise overruns in total scheme costs and refresh contract management procedures to ensure effective cost management at all project stages.
Ensure PMs are sufficiently trained to enable them to question pricing and alternatives and contract queries. Ensure EAs are providing effective support to PMs in this.</t>
  </si>
  <si>
    <t>If Health and Safety procedures and protocols are not embedded in the programme governance then there is a risk that on-site safety is non-compliant.</t>
  </si>
  <si>
    <t xml:space="preserve"> - Construction site specific training, guidance and sharing best practice
 - All relevant staff equipped with PPE
 - Regular reviews of risk assessments and contractor compliance</t>
  </si>
  <si>
    <t>If SC does not adopt best practice in relation to HR and personnel processes, procedures and practices within the workplace there could be a detrimental impact on staff including their mental health, which could have an impact on service delivery</t>
  </si>
  <si>
    <t xml:space="preserve"> - Operating in line with LB Southwark's respect at work and other internal policies designed to minimise workplace stress
- Making timely referrals to occupational health when required
- Ensuring workloads are appropriately balanced to minimise the rsk of work related stress
- Team risk assessment to cover this in place and regularly reviewed</t>
  </si>
  <si>
    <t>Review</t>
  </si>
  <si>
    <t>Out of hours and off site meetings may expose staff to members of the public or other organisations that are hostile to Southwark</t>
  </si>
  <si>
    <t xml:space="preserve"> - Refresh training and lone working guidance, tailored to Southwark Construction working practices. Provide assurance that all staff within Southwark Construction are fully informed of the risks and controls necessary to keep safe while working alone</t>
  </si>
  <si>
    <t>If programme schemes are inconsistent, or poor in their approach to resident experience, through the delivery of the project, namely through the implementation of relevant processes and procedures (for example consultation, LH buybacks or allocations) then this could negatively impact residents' view of Southwark</t>
  </si>
  <si>
    <t xml:space="preserve"> - Clear and robust processes for dealing with residents
- Follow the council's complaints process when it becomes necessary
- Aim to be as transparent as possible in our communications with residents</t>
  </si>
  <si>
    <t>Covenant or other restrictions delay or present a significant obstacle to development on council owned sites</t>
  </si>
  <si>
    <t xml:space="preserve"> - Ensure that initial due diligence is appropriate for the location of the project</t>
  </si>
  <si>
    <t>If supply chain issues and material prices continue to increase there is a risk that the affordability of the future pipeline will be severely challenged and impact the ability to meet the council Corporate Plan.  Additional costs could lead to the council breaching its prudential borrowing limit</t>
  </si>
  <si>
    <t xml:space="preserve"> - Reconfigure the programme to keep costs within the borrowing limit</t>
  </si>
  <si>
    <t xml:space="preserve">If the forthcoming fire safety requirements are implemented as expected there will be a potential gap of 3 months between Gateway 2 and Gateway 3 and therefore a significant delay between handover of property and first let.  This will add to void costs and require additional housing management measures until the property can be occupied. </t>
  </si>
  <si>
    <t xml:space="preserve"> - Include the increased void cost in development appraisals but this will not prevent the risk from being realised on schemes already on site.</t>
  </si>
  <si>
    <t xml:space="preserve">If individual flats in a block have letterboxes in their front doors, rather than in a communal area near the front door, it will affect the specification for the doors as they must be robust and safe with an enclosed door design. Where we are required to close off each floor with a fob it would make access for the postal delivery staff even more difficult. </t>
  </si>
  <si>
    <t>Ensure designs include that individual post boxes for each flat are provided in the ground floor communal hallway or outside the building. This is to be agreed and so far only applies to Ledbury where it’s been raised as a concern. MVT is in discussions with Landlord Services who want individual flat door letterboxes.</t>
  </si>
  <si>
    <t>SW/AB</t>
  </si>
  <si>
    <t>Southwark's standard required level of professional indemnity may be increasingly unaffordable for some suppliers. Another outcome is that design teams are requesting that Southwark Construction directly appoints sub consultants / contractors</t>
  </si>
  <si>
    <t xml:space="preserve"> - Include professional indemnity as a requirement of procuring goods and services and manage relationships with suppliers
 - Review all ERs to identify the level of professional indemnity cover for contractor / consultants on each project</t>
  </si>
  <si>
    <t>Project design particularly those including the transfer of LB Southwark land may expose the borough to questions regarding compliance relating to the new fire safety and building safety act update.</t>
  </si>
  <si>
    <t xml:space="preserve"> - Review projects and highlight any potential issues with recommendations</t>
  </si>
  <si>
    <t>Resource - Internal</t>
  </si>
  <si>
    <t>If there is unsufficient support for a self-funding programme, or it is not possible to secure additional income into the programme, the delivery of the Corporate Plan objectives being met is at risk.</t>
  </si>
  <si>
    <t xml:space="preserve"> - Maintain political support for sales properties to be included to help fund the programme
- Consider the recommendations form the Land Commission findings
 - Clarify which schemes are to be included in the future programme, undertaking a comprehensive programme review to identify opportunities to bring income into the programme and future sites to deliver new homes that are cost neutral to the council
- Work to establish principle of using non-grant receipts from one site tied to delivery of affordable homes on another site to demonstrate commercial principles are being applied support corporate objectives</t>
  </si>
  <si>
    <t>DLUHC guidance on configuration of buildings above a designated height may require project redesign, which may increase costs and delay approval from building control / Council position. See also PR_0042.</t>
  </si>
  <si>
    <r>
      <rPr>
        <b/>
        <sz val="11"/>
        <rFont val="Arial"/>
        <family val="2"/>
      </rPr>
      <t xml:space="preserve"> - Ensure that any high rise buildings that were on site were sufficiently progressed (15%) are notified and do not get forwarded to the Building Safety Regulator. This list was confirmed by SLs and PMs, and sent to the building control team ahead of the deadline.</t>
    </r>
    <r>
      <rPr>
        <sz val="11"/>
        <rFont val="Arial"/>
        <family val="2"/>
      </rPr>
      <t xml:space="preserve">
 - Review all impacted projects that do not have building control sign off.</t>
    </r>
  </si>
  <si>
    <t>There is a requirement to ensure all new homes are carbon neutral, which presents a risk of increased costs for projects in the development pipeline</t>
  </si>
  <si>
    <t>Funds secured by climate change team to undertake Passiv House benchmarking study. Looking at the cost/benefit of the application of Passiv House to make an assessment as to whether this would be a viable approach.
ASHP/GSHP, green roofs, brown roofs, etc are included in the designs and viability costings for all schemes.
Explore further carbon neutral funding options with the climate change team.</t>
  </si>
  <si>
    <t>If Southwark Construction does not deliver on its green and sustainability ambitions and targets there could be reputational damage, political fallout and may impact it's ability to claim GLA grant</t>
  </si>
  <si>
    <t xml:space="preserve"> - Introduce a consistent method of monitoring social value KPIs to contractors who are delivering on them
 - Ensure that Social Value KPIs are included within all relevant procurement
- Incorporate sustainability into the design and development of all new homes</t>
  </si>
  <si>
    <t xml:space="preserve">If Southwark Construction does not deliver apprenticeships and employment opportunties through the programme there could be reputational damage and political fallout </t>
  </si>
  <si>
    <t xml:space="preserve"> - Introduce a consistent method of monitoring social value KPIs to contractors are delivering on them
 - Ensure that Social Value KPIs are included within all relevant procurement
- Create apprenticeships and job opportunities within Southwark Construction</t>
  </si>
  <si>
    <t>insignificant</t>
  </si>
  <si>
    <t>If costs of approved schemes within the BCHfL programme becomes unaffordable they will need to be removed from the programme, this could have impact on Southwark's credibility and joint objectives around new homes targets</t>
  </si>
  <si>
    <t xml:space="preserve"> - All BCHfL schemes are on site so this risk has now reduced significantly.
 - GLA colleagues</t>
  </si>
  <si>
    <t>SW</t>
  </si>
  <si>
    <t>If Southwark is not able to develop or gain approval for a self financing programme to take forward its future pipeline then we will not be able to drawdown on the approved grant allocation for the AHP, this could have impacts on Southwark's credibility and joint objectives around new homes targets.</t>
  </si>
  <si>
    <t xml:space="preserve"> - Cabinet has agreed proposals for schemes to be delivered via development agreement and these are being prioritised to meet CDP targets and to seek to take advantage of GLA grant funding
- Identify other income streams from S106 or disposals to provide funding for scheme to Start on Site by March 2026
 - Contribute towards a review of LBS assets and develop corporate disposal strategy</t>
  </si>
  <si>
    <t>If the programme does not have the right type and level of skills to deliver a complex development programme there is a risk that schemes could take longer to deliver, cost more, and that we are unable to meet the Corporate Plan targets</t>
  </si>
  <si>
    <r>
      <rPr>
        <b/>
        <sz val="11"/>
        <rFont val="Arial"/>
        <family val="2"/>
      </rPr>
      <t xml:space="preserve"> </t>
    </r>
    <r>
      <rPr>
        <sz val="11"/>
        <rFont val="Arial"/>
        <family val="2"/>
      </rPr>
      <t>- Ongoing recruitment to bring in skilled staff as required
 - Skills audit carried out to identify where gaps exist and put in place a continuous improvement plan
- Focussed and and intense skills development and training programme across the team</t>
    </r>
  </si>
  <si>
    <t>If there is not a sales and marketing strategy in place for private sale homes in the programme then the council will not maximise the income potential and affect the council's reputation as a good developer</t>
  </si>
  <si>
    <t xml:space="preserve"> - Hackney Sales appointed as consultants to develop a new sales and marketing strategy, including an after-sales management plan
 - Ensure relevant staff are trained
 - Embed Sales Strategy into delivery governance</t>
  </si>
  <si>
    <t>If the management of leasehold and shared ownership homes is poor the council this will have financial and repulational impacts on the programme</t>
  </si>
  <si>
    <t xml:space="preserve"> - After-sales management of defects needs to be closely managed
- Initiate stakeholder engagement with teams across the council in advance of starting the future programme - to establish parameters around service charges, 'segregated' spaces in mixed tenure developments, ongoing maintenance (particularly of new green technology) etc.
 - Hackney Sales appointed as consultants to develop a new sales and marketing strategy, incorporating an approach to the management of shared ownership homes in partnership with the council's home ownership team</t>
  </si>
  <si>
    <t>If our contractors continue to submit poor quality information to building control, there is a risk that this will cause further delays and incur additional costs on schemes</t>
  </si>
  <si>
    <t>PM’s and EA’s to take responsibility in ensuring that the correct information is being issued by the contractors to satisfy BC requirements.  
Building Control to provide clarity on how information should be submitted by contractors in order the SC can ensure this is reflected in the ERs (if/as required).</t>
  </si>
  <si>
    <t>If bicycle storage is not considered safe by the London Fire Brigade (LFB) there is a risk that this will contribute to futher delays with Building Control sign-off.
Builidng Control have advised that LFB req for communal bike stores that open into communal corridors need to have a ventilated lobby. If a lobby is not possible access needs to be external instead. Risk is not being signed off if we do not comply and additional costs for lobby or external doors - planning implication as will need to go back for material/non-material amendment</t>
  </si>
  <si>
    <r>
      <t>Design requirements incorporated into new version of ERs.</t>
    </r>
    <r>
      <rPr>
        <b/>
        <sz val="11"/>
        <rFont val="Arial"/>
        <family val="2"/>
      </rPr>
      <t xml:space="preserve">
</t>
    </r>
    <r>
      <rPr>
        <sz val="11"/>
        <rFont val="Arial"/>
        <family val="2"/>
      </rPr>
      <t>Review bicycle storage designs across all projects and consider whether redesigns may be necessary with input from LFB.</t>
    </r>
  </si>
  <si>
    <t>If works need to be paused while drawing packs are reviewed in light of new building safety legislation there is a risk that we may require an extension of ~3 months to be added at the commencement and completion of projects where there are buildings of 18 metres and above.</t>
  </si>
  <si>
    <t xml:space="preserve"> Building Control are currently seeking clarity from the H&amp;S regulator to get further clarity on how this will be realised on actual projects.
Add in time at the Gateway 3 stage</t>
  </si>
  <si>
    <t>Lack of availability of in-house Legal resourcing could cause significant delays to the sales and marketing of private and shared ownership properties</t>
  </si>
  <si>
    <t>Resolved - SD has signed GW1&amp;2 for direct award for conveyancing contract</t>
  </si>
  <si>
    <t>There is a risk that when Matthew Jackson leaves the council there will be resourcing issues in the Property Services team, pending recruitment to the Head of Property Services position</t>
  </si>
  <si>
    <t>Paul Davies can sign off disposals in the interim</t>
  </si>
  <si>
    <t>The lack of occupational therapy specialist advise available to SC poses a risk to the design of adaptable properties</t>
  </si>
  <si>
    <t>A new resource has been appointed to work with SC on this.</t>
  </si>
  <si>
    <t>If the council were subject to a data hack we could potentially lose access to all of our records, which would significantly derail the programme.</t>
  </si>
  <si>
    <t xml:space="preserve"> - Expedite the move the Sharepoint asap
 - Comply with the council's data security guidance, ensuring all staff understand the risks and undertake annual cyber security training</t>
  </si>
  <si>
    <t>If surveys and investigative works at pre-contract stage are not sufficiently robust there is a risk of increased project costs, or of a project being stopped after it has started on site.</t>
  </si>
  <si>
    <t xml:space="preserve"> - Ensure that robust investigations are built into the feasibility stage of all schemes not yet in contract
 - Investigate whether surveys and investigations have been conducted on projects undweray and risk assess and commission them where appropriate on schemes that are already underway </t>
  </si>
  <si>
    <t xml:space="preserve">If we continue to deliver shared ownership homes via S.106 we cannot maximise rent income due to the low maximum household income levels (in the AH SPD) that are not in line with the industry standard - £90k CFG </t>
  </si>
  <si>
    <t xml:space="preserve"> - Open discussions with Planning colleagues to advise them of the impact
 - Ensure PM's understand the impact on scheme appraisals and future rental income / viability</t>
  </si>
  <si>
    <t>There is currently no agreed process for the management of CCTV cameras on new builds. This presents a reputational risk to the council as having 'dummy' cameras is agains the standards that the council has signed up to.</t>
  </si>
  <si>
    <t xml:space="preserve"> - Work with CCTV team and resident services to ensure that there is an agreement in place for how CCTV will be managed post-handover.
 - Do not install cameras unless they have been requested by a stekeholder within the council or by the police.</t>
  </si>
  <si>
    <t xml:space="preserve">The communal district heating system has a planned timeline for delivery which is managed by the Heat Networks team in Engineering Services.  If we do not align this with our future delivery programme and ensure that the appropriate infrastructure will be in place and aligns with our delivery plans, there is a risk that schemes will need additional heating systems to be installed as a backup which will incur additional charges to our projects.  </t>
  </si>
  <si>
    <t xml:space="preserve"> - To be incorporated into programming of the future programme work with Engineering Services Heat Networks Team on the timeline</t>
  </si>
  <si>
    <t xml:space="preserve">If we do not ensure that we are meeting evolving statutory environmental standards, there is a risk of reputational damage as we are under public scrutiny if we do not adhere to them under the future progamme. </t>
  </si>
  <si>
    <t xml:space="preserve">Partner with green technology firms, secure grants for sustainable projects, and include environmental objectives in all development agreements to ensure compliance and leadership in sustainability. </t>
  </si>
  <si>
    <t>If we fail to meet the critical timeline for maximising GLA funding, the schemes' viability is at risk.</t>
  </si>
  <si>
    <t xml:space="preserve">Implement strict project management governance and ensure proactive scheduling and regular milestone reviews. Explore alternative funding, such as right to buy receipts. Work closely with the GLA to understand the future funding programme as early as possible. </t>
  </si>
  <si>
    <t>If we are not transparent in our communications around our ability to deliver new homes in the future programme, there is a risk of negative public perception and lack of stakeholder trust, especially in projects involving large public investments.</t>
  </si>
  <si>
    <t>4</t>
  </si>
  <si>
    <t>3</t>
  </si>
  <si>
    <t>Manage comms carefully with clarity around what the obstacles are.
Ensure robust stakeholder engagement processes, regular public updates, and transparent decision-making to build and maintain public trust.
Work with the developers to ensure communication is key for future homes programme to all stakeholders.</t>
  </si>
  <si>
    <t>If there are changes to the political landscape, leadership or public policy, there is a risk of negative impacts on funding and project priorities.</t>
  </si>
  <si>
    <t>Maintain strong relations with political stakeholders across a spectrum of potential alignments, prepare for policy shifts with adaptable project plans, and ensure that projects align with long-term public goals.</t>
  </si>
  <si>
    <t>The economic viability of properties developed under public projects in fluctuating markets presents a challenge to developers' appetite for sales risk. This presents a risk to our ability to sell units, which impacts on financial viabliity for the programme overall.</t>
  </si>
  <si>
    <t xml:space="preserve">Develop marketing strategies that align with public sector goals, offer incentives for early buyers, and plan for diverse usage scenarios to stabilise revenue streams. Prioritise sequencing of deliverables with building-out of social homes first by targetting developers who are not as reliant on borrowing. 
If we plan to partner with RPs plan early on for Shared Ownership to transfer risk. 
Price fluctuations will impact the developer so we need to produce a sensible pricing agreement, which is not too onerous on the overage clauses.  </t>
  </si>
  <si>
    <t>If we do not stay abreast of changes in building regulations there is a risk that it will impact our ability to deliver compliant public development projects.</t>
  </si>
  <si>
    <t>5</t>
  </si>
  <si>
    <t>Participate in regulatory development processes, implement a compliance monitoring system, and adapt projects proactively to meet new standards
Implement milestones and clauses on the viabilty changes, and change the specification around what is implemented on legislation changes</t>
  </si>
  <si>
    <t>If the initial sites selected for the future programme are not approved the delivery of the future homes programme is at risk., This will potentially result in legal and regulatory issues, and financial implications, due to delays.</t>
  </si>
  <si>
    <t xml:space="preserve">Conduct site surveys to inform individual site viability.
Conduct extensive due diligence to assess legal, environmental and logistical challenges associated with the site.
Early and ongoing engage with both internal and external stakeholders.
Review other sites that could fall into the future programme.
</t>
  </si>
  <si>
    <t xml:space="preserve">If the challenges in developing a viable lotting strategy that adapts to market and financial conditions continues to cause difficulties in attracting developers or investors,  there is a risk of them cherry-picking, causing delays to project initiation, reduced flexibility in project development, and potential financial losses. </t>
  </si>
  <si>
    <t>Create adaptable lotting plans that can be adjusted based on the changing market and financial conditions with sign off points. 
Work with industry experts to design lotting strategies that align with the council's housing development commitment and financial viability for the future programme 2026. 
Further review once responses have been received from soft market testing to see if an alternative strategy needs to be pursued to prevent cherry-picking sites.</t>
  </si>
  <si>
    <t>If we fail to comply with public sector regulations, including building codes and development agreements, there is a risk of the council being in breach of its legal obligations, potentially resulting in legal action, financial penalties and reputational damage.</t>
  </si>
  <si>
    <t>2</t>
  </si>
  <si>
    <t>Maintain working closely with legal, compliance and building safety teams, conduct regular audit and training sessions to upskill the project team</t>
  </si>
  <si>
    <t xml:space="preserve">If we cannot balance the council's housing tenure mix commitments with making schemes viable and attractive for developers, there is a risk of not be able to deliver the programme.
</t>
  </si>
  <si>
    <t>If the policy for a portfolio approach is not supported by planning, there is a risk that the smaller sites within the future homes programme will not be viable.</t>
  </si>
  <si>
    <r>
      <t xml:space="preserve">Maintain working closely with planning, policy and operational teams to deliver a compliant mix, including the GLA.
</t>
    </r>
    <r>
      <rPr>
        <b/>
        <sz val="11"/>
        <rFont val="Arial"/>
        <family val="2"/>
      </rPr>
      <t>Consider formally submitting a consultation response to the emerging Affordable Housing SPD that requests acknowledgment of a portfolio approach.</t>
    </r>
  </si>
  <si>
    <t xml:space="preserve">If Southwark are in breach of any element of the DA contract, there would be associated financial penalties, would could deem the scheme unviable. Potential reputational damage as a result of the breach.  </t>
  </si>
  <si>
    <t>Controls in place to ensure full understanding of DA obligations and triggers for a breach of contract. Training for all PM's on obligations under DA.
Close monitoring of the contracts throughout.</t>
  </si>
  <si>
    <t>If the council adopts a portfolio approach across different wards in the future programme, there is a risk of Judicial Review, which could potentially attract further scrutiny as this is a new concept.</t>
  </si>
  <si>
    <t>Utilise a planning consultant to advise on the appropriate strategy. Seek legal advice on how to approach and whether additional measures are required up front.
Work closely with the Cabinet Member and Ward Councillors on cross-ward developments to manage priorities and expectations.</t>
  </si>
  <si>
    <t>If the requirements of the Council's energy strategy are not incorporated into the early design and concept stages of new projects there is a risk that those targets will not be achieved at a reasonable cost level.</t>
  </si>
  <si>
    <t>Ensure selected sites are checked in line with the council's communal heating planned preventative maintenance plan. Review targets and costs at early project stages to ensure commitment levels are achievable.</t>
  </si>
  <si>
    <t xml:space="preserve">Fluctuations in property prices present a risk to the financial viability of units built for shared ownership and private sale </t>
  </si>
  <si>
    <t>Closely monitor market conditions and use for strategy development.</t>
  </si>
  <si>
    <t>If the initial lots are not successful at tender, potentially due to the appeal of the sites that have been included, there is a risk is that we do not meet the council delivery targets.</t>
  </si>
  <si>
    <t>Review location of sites and sales values in those areas to confirm whether they are the right sites.</t>
  </si>
  <si>
    <t>Financial constraints mean that more flexibility is needed to make the Southwark Construction programme viable. If Southwark Planning are not aligned with the council's home-building strategy and are not willing to afford us more flexibility there is a risk of delay or non-viability across the programme.</t>
  </si>
  <si>
    <t>Get senior management and political buy-in to support flexibility in the planning process and communicate the constraints at all levels.</t>
  </si>
  <si>
    <t>#</t>
  </si>
  <si>
    <t>Transfer</t>
  </si>
  <si>
    <t>OVERALL KPI KRI Assesment</t>
  </si>
  <si>
    <t>Issues Summary</t>
  </si>
  <si>
    <t>Issue Category</t>
  </si>
  <si>
    <t>Issue STATUS UPDATES</t>
  </si>
  <si>
    <t>Status2</t>
  </si>
  <si>
    <t>KRI_E01</t>
  </si>
  <si>
    <t>&lt;55%</t>
  </si>
  <si>
    <t>55-70%</t>
  </si>
  <si>
    <t>&gt;70%</t>
  </si>
  <si>
    <t>KRI_SA01</t>
  </si>
  <si>
    <t>Strategic Alignment</t>
  </si>
  <si>
    <t>KRI_T01</t>
  </si>
  <si>
    <t>Technical Integration</t>
  </si>
  <si>
    <t>KRI_ST01</t>
  </si>
  <si>
    <t>KRI_S01</t>
  </si>
  <si>
    <t>KRI_RS01</t>
  </si>
  <si>
    <t>Resource Resilience</t>
  </si>
  <si>
    <t>KRI_R01</t>
  </si>
  <si>
    <t>Regulatory &amp; Compliance</t>
  </si>
  <si>
    <t>KRI_D01</t>
  </si>
  <si>
    <t>Delivery Performance</t>
  </si>
  <si>
    <t>KRI_F01</t>
  </si>
  <si>
    <t>Financial Viability</t>
  </si>
  <si>
    <t>Row Labels</t>
  </si>
  <si>
    <t>Grand Total</t>
  </si>
  <si>
    <t>Sum of Gross ALE</t>
  </si>
  <si>
    <t>Sum of Residual ALE</t>
  </si>
  <si>
    <r>
      <t xml:space="preserve">🔴 </t>
    </r>
    <r>
      <rPr>
        <b/>
        <sz val="36"/>
        <color theme="0"/>
        <rFont val="Arial"/>
        <family val="2"/>
      </rPr>
      <t>RED KRIs</t>
    </r>
  </si>
  <si>
    <r>
      <t xml:space="preserve">🟡 </t>
    </r>
    <r>
      <rPr>
        <b/>
        <sz val="36"/>
        <rFont val="Arial"/>
        <family val="2"/>
      </rPr>
      <t>AMBER KRIs</t>
    </r>
  </si>
  <si>
    <r>
      <t xml:space="preserve">🟢 </t>
    </r>
    <r>
      <rPr>
        <b/>
        <sz val="36"/>
        <rFont val="Arial"/>
        <family val="2"/>
      </rPr>
      <t>GREEN KRIs</t>
    </r>
  </si>
  <si>
    <t xml:space="preserve">OCTOBER </t>
  </si>
  <si>
    <t>Community Performance</t>
  </si>
  <si>
    <t>Input E</t>
  </si>
  <si>
    <t>Programme Financial Sustainability</t>
  </si>
  <si>
    <t>financial risk exposure</t>
  </si>
  <si>
    <t>(Budget Control + Cost Management + Funding Security + Revenue Performance + Market Risk) ÷ 5</t>
  </si>
  <si>
    <t>Resource &amp; Capability Adequacy</t>
  </si>
  <si>
    <t>resource availability risk</t>
  </si>
  <si>
    <t>(Staff Capacity + Skills Availability + Key Personnel + Specialist Resources + Recruitment) ÷ 5</t>
  </si>
  <si>
    <t>Building Control &amp; Safety Compliance</t>
  </si>
  <si>
    <t>regulatory compliance risk</t>
  </si>
  <si>
    <t>(Building Control Performance + Fire Safety + BSA Gateways + Safety Systems + Regulatory Adherence) ÷ 5</t>
  </si>
  <si>
    <t>Programme Delivery Excellence</t>
  </si>
  <si>
    <t>delivery execution risk</t>
  </si>
  <si>
    <t>(Schedule Performance + Quality + Contractor Management + Pipeline Health + Handover Success) ÷ 5</t>
  </si>
  <si>
    <t>Strategic Objectives &amp; Adaptability</t>
  </si>
  <si>
    <t>strategic misalignment risk</t>
  </si>
  <si>
    <t>(Corporate Plan Alignment + Housing Targets + Policy Response + Estate Renewal + Political Support) ÷ 5</t>
  </si>
  <si>
    <t>Technical Delivery &amp; Infrastructure</t>
  </si>
  <si>
    <t>technical integration risk</t>
  </si>
  <si>
    <t>(Design Quality + Infrastructure Coordination + Data Management + Utilities Integration + Systems) ÷ 5</t>
  </si>
  <si>
    <t>Stakeholder Relations &amp; Reputation</t>
  </si>
  <si>
    <t>stakeholder confidence risk</t>
  </si>
  <si>
    <t>(Resident Satisfaction + Community Relations + Communication + Political Confidence + Trust) ÷ 5</t>
  </si>
  <si>
    <t>Supply Chain &amp; Safety</t>
  </si>
  <si>
    <t>Supply Chain &amp; Safety Performance</t>
  </si>
  <si>
    <t>supply chain disruption risk</t>
  </si>
  <si>
    <t>(Contractor Stability + Material Security + Safety Compliance + Quality Standards + Risk Management) ÷ 5</t>
  </si>
  <si>
    <t>Environment &amp; Sustainability</t>
  </si>
  <si>
    <t>Sustainability &amp; Environmental Performance</t>
  </si>
  <si>
    <t>environmental compliance risk</t>
  </si>
  <si>
    <t>(Net Zero Progress + Carbon Management + Energy Strategy + Environmental Compliance + Climate Resilience) ÷ 5</t>
  </si>
  <si>
    <t>KRI_CP01</t>
  </si>
  <si>
    <t>Community Benefit Delivery</t>
  </si>
  <si>
    <t>community engagement risk</t>
  </si>
  <si>
    <t>(Employment + Apprenticeships + Local Procurement + Community Investment + Skills Development) ÷ 5</t>
  </si>
  <si>
    <t>Employment: 95/100 = 95% achieved = 95% score
Apprenticeships: 28/36 = 78% achieved = 78% score
Local: £800K/£1M = 80% achieved = 80% score
Community: £1.5M/£2M = 75% spent = 75% score
Skills: 6/8 programs = 75% on track = 75% score</t>
  </si>
  <si>
    <t>Schedule: 14/30 = 47% behind = 53% score
Quality: 15% defects vs 8% target = 47% score
Contractor: 8/12 = 67% disputes = 33% score
Pipeline: 5/10 = 50% not ready = 50% score
Handover: 6 weeks delay = 70% score</t>
  </si>
  <si>
    <t>Corporate: 75/100 = 75% achieved = 75% score
Housing: 450/600 = 75% achieved = 75% score
Policy: 30 days vs 10 target = 33% score
Estate: 3/5 = 60% delayed = 40% score
Political: 7/10 support = 70% score</t>
  </si>
  <si>
    <t>Design: 11/54 = 20% affected = 80% score
Infrastructure: 8 sites delayed = 67% score
Data: 20% error rate vs 5% target = 25% score
Utilities: 4/12 schemes dependent = 67% score
Systems: 15/25 buildings need SIBs = 40% score</t>
  </si>
  <si>
    <t>Resident: 6.8/10 vs 8/10 target = 68% score
Community: 4/10 schemes opposed = 60% score
Communication: 5 failures this quarter = 70% score
Political: 7.8/10 confidence = 78% score
Trust: 7.7/10 stakeholder trust = 77% score</t>
  </si>
  <si>
    <t>Contractor: 2/12 = 17% at risk = 83% score
Material: 12% price increase = 65% score
Safety: 2 incidents/50 sites = 96% score
Quality: 95% standards met = 95% score
Risk: 5 risks mitigated monthly = 75% score</t>
  </si>
  <si>
    <t>Net Zero: 75% progress vs target = 75% score
Carbon: 15 tonnes over vs 100 target = 85% score
Energy: 68% vs 85% target = 68% score
Environmental: 0 breaches = 100% score
Climate: 3/8 risks addressed = 38% score</t>
  </si>
  <si>
    <t>Programme Financial Sustainability, Programme Delivery Excellence</t>
  </si>
  <si>
    <t>Programme goals delivered</t>
  </si>
  <si>
    <t>Overall programme performance measure across 54+ schemes</t>
  </si>
  <si>
    <t>Budget Performance Rate</t>
  </si>
  <si>
    <t>(Projects Within Approved Budget ÷ Total Projects) × 100%</t>
  </si>
  <si>
    <t>Simpler than Earned Value, uses actual Southwark budget tracking</t>
  </si>
  <si>
    <t>Track financial control across portfolio</t>
  </si>
  <si>
    <t>Average Budget Variance</t>
  </si>
  <si>
    <t>Average of (Actual Spend - Approved Budget) ÷ Approved Budget across all projects</t>
  </si>
  <si>
    <t>More meaningful than EV for local authority context</t>
  </si>
  <si>
    <t>&lt;8%</t>
  </si>
  <si>
    <t>8-15%</t>
  </si>
  <si>
    <t>Measure typical cost overrun scale</t>
  </si>
  <si>
    <t>Budget deviation managed</t>
  </si>
  <si>
    <t>Contingency Management Score</t>
  </si>
  <si>
    <t>(Unused Contingency ÷ Total Contingency Available) × 100%</t>
  </si>
  <si>
    <t>Revised: Higher unused contingency = better financial management</t>
  </si>
  <si>
    <t>25-40%</t>
  </si>
  <si>
    <t>Preserve reserves for genuine risks</t>
  </si>
  <si>
    <t>Cost forecasts accurate</t>
  </si>
  <si>
    <t>Accurate cost prediction across schemes</t>
  </si>
  <si>
    <t>Schedules projected reliably</t>
  </si>
  <si>
    <t>Changes successfully managed</t>
  </si>
  <si>
    <t>Critical risks mitigated, based on live risk register</t>
  </si>
  <si>
    <t>Planning Sustainability Compliance Rate</t>
  </si>
  <si>
    <t>(Sustainability Conditions Discharged Successfully ÷ Total Sustainability Conditions) × 100%</t>
  </si>
  <si>
    <t>Uses existing Southwark data streams</t>
  </si>
  <si>
    <t>Direct compliance with planning requirements</t>
  </si>
  <si>
    <t>Energy Performance Gap Minimization</t>
  </si>
  <si>
    <t>(Projects Achieving Within 10% of Designed Energy Rating ÷ Total Completed Projects) × 100%</t>
  </si>
  <si>
    <t>6-month lag for EPC data availability</t>
  </si>
  <si>
    <t>Ensure energy performance targets are met</t>
  </si>
  <si>
    <t>Construction Efficiency Score</t>
  </si>
  <si>
    <t>(Projects Using Efficient Methods ÷ Total Projects) × 100%</t>
  </si>
  <si>
    <t>Methods: prefab elements, standardized designs, bulk procurement</t>
  </si>
  <si>
    <t>&gt;60%</t>
  </si>
  <si>
    <t>45-60%</t>
  </si>
  <si>
    <t>&lt;45%</t>
  </si>
  <si>
    <t>Improve delivery speed and quality</t>
  </si>
  <si>
    <t>Carbon Reduction Target Achievement</t>
  </si>
  <si>
    <t>(Projects Meeting Carbon Reduction Targets ÷ Total Applicable Projects) × 100%</t>
  </si>
  <si>
    <t>New builds &gt;10 units, major refurbs &gt;£2M</t>
  </si>
  <si>
    <t>Per completion</t>
  </si>
  <si>
    <t>Align with Southwark climate commitments</t>
  </si>
  <si>
    <t>Environmental Incident Response Rate</t>
  </si>
  <si>
    <t>(Environmental Incidents Resolved Within 48 Hours ÷ Total Environmental Incidents) × 100%</t>
  </si>
  <si>
    <t>Includes dust complaints, noise violations, contamination</t>
  </si>
  <si>
    <t>Maintain community relations and compliance</t>
  </si>
  <si>
    <t>Defects resolved</t>
  </si>
  <si>
    <t>Programme Delivery Excellence, Technical Delivery &amp; Infrastructure</t>
  </si>
  <si>
    <t>Quality standards met</t>
  </si>
  <si>
    <t>Digital Process Adoption Rate</t>
  </si>
  <si>
    <t>(Projects Using Digital Workflows ÷ Total Projects) × 100%</t>
  </si>
  <si>
    <t>Specific to Southwark systems: digital planning, BIM Level 2, digital handovers</t>
  </si>
  <si>
    <t>50-70%</t>
  </si>
  <si>
    <t>Improve efficiency through digitalization</t>
  </si>
  <si>
    <t>Resident satisfaction, based on 12-month survey</t>
  </si>
  <si>
    <t>Stable suppliers retained</t>
  </si>
  <si>
    <t>Statutory &amp; internal reports on time, includes Cabinet reports, GLA returns</t>
  </si>
  <si>
    <t>((Safety × 40%) + (Quality × 30%) + (Delivery × 20%) + (Commercial × 10%))</t>
  </si>
  <si>
    <t>Revised weighting prioritizing safety and quality for social housing</t>
  </si>
  <si>
    <t>Ensure contractor excellence with appropriate priorities</t>
  </si>
  <si>
    <t>Critical roles filled, includes Matthew Jackson type roles</t>
  </si>
  <si>
    <t>Maintain key personnel capacity</t>
  </si>
  <si>
    <t>Disputes resolved effectively</t>
  </si>
  <si>
    <t>Building Standards Compliance Rate</t>
  </si>
  <si>
    <t>(Projects Meeting All Building Standards First Time ÷ Total Projects) × 100%</t>
  </si>
  <si>
    <t>Broader than Building Safety Act - includes all building regs, fire safety, accessibility</t>
  </si>
  <si>
    <t>Ensure all developments meet required standards</t>
  </si>
  <si>
    <t>Regulatory requirements met</t>
  </si>
  <si>
    <t>Planning approvals secured</t>
  </si>
  <si>
    <t>Building standards met, critical bottleneck for programme</t>
  </si>
  <si>
    <t>Meet construction standards without delays</t>
  </si>
  <si>
    <t>Safety targets met</t>
  </si>
  <si>
    <t>KPI_BC1</t>
  </si>
  <si>
    <t>Housing Delivery Delay Cost</t>
  </si>
  <si>
    <t>(Delay Weeks × £400 void cost × Delayed Units)</t>
  </si>
  <si>
    <t>London social housing void cost reality</t>
  </si>
  <si>
    <t>Control major programme cost impact</t>
  </si>
  <si>
    <t>£160K</t>
  </si>
  <si>
    <t>Community engagement achieved</t>
  </si>
  <si>
    <t>Stakeholder expectations met</t>
  </si>
  <si>
    <t>Complaints resolved</t>
  </si>
  <si>
    <t>Address stakeholder concerns promptly</t>
  </si>
  <si>
    <t>(Social Value Commitments Met ÷ Total Social Value Commitments) × 100%</t>
  </si>
  <si>
    <t>Broader than just apprenticeships - includes training, local employment, community facilities</t>
  </si>
  <si>
    <t>Deliver comprehensive community benefits</t>
  </si>
  <si>
    <t>Local Workforce Development</t>
  </si>
  <si>
    <t>(Local Workers + Apprentices ÷ Total Workforce) × 100%</t>
  </si>
  <si>
    <t>Combines local labour with skills development</t>
  </si>
  <si>
    <t>Build local capacity and provide opportunities</t>
  </si>
  <si>
    <t>SME contracts awarded, SME as per UK Gov definition</t>
  </si>
  <si>
    <t>Support small business development</t>
  </si>
  <si>
    <t>Deliver According to Original Outcomes</t>
  </si>
  <si>
    <t>(Benefits Achieved ÷ Benefits Forecast) × 100%</t>
  </si>
  <si>
    <t>Benefits delivered vs promised, measured at project completion</t>
  </si>
  <si>
    <t>Ensure projects deliver promised benefits</t>
  </si>
  <si>
    <t>(Schemes Aligned to BC Objectives ÷ Total Schemes) × 100%</t>
  </si>
  <si>
    <t>Strategic alignment maintained, assessment against original business case</t>
  </si>
  <si>
    <t>Confirm alignment with approved objectives</t>
  </si>
  <si>
    <t>(Approved Scope Items Delivered ÷ Total Approved Scope) × 100%</t>
  </si>
  <si>
    <t>Scope delivered as approved, excludes approved change requests</t>
  </si>
  <si>
    <t>Prevent unauthorized scope variations</t>
  </si>
  <si>
    <t>((Actual Cost - BC Approved Budget) ÷ BC Approved Budget) × 100%</t>
  </si>
  <si>
    <t>Budget adherence to BC, positive variance indicates overspend</t>
  </si>
  <si>
    <t>Track alignment with business case budgets</t>
  </si>
  <si>
    <t>3–6 months</t>
  </si>
  <si>
    <t>6–12 months</t>
  </si>
  <si>
    <t>≥1 year</t>
  </si>
  <si>
    <t>Open Risks by Age Bucket</t>
  </si>
  <si>
    <t>Age bucket</t>
  </si>
  <si>
    <t>Open risk count</t>
  </si>
  <si>
    <t>visualization</t>
  </si>
  <si>
    <t>0–3 months</t>
  </si>
  <si>
    <t>≥2 year</t>
  </si>
  <si>
    <t>🔴 RED KPIs</t>
  </si>
  <si>
    <t>🟡 AMBER KPIs</t>
  </si>
  <si>
    <t>🟢 GREEN KPIs</t>
  </si>
  <si>
    <t>Open Issues by Age Bucket</t>
  </si>
  <si>
    <t>RISK INFORMATION</t>
  </si>
  <si>
    <t>ISSUES INFORMATION</t>
  </si>
  <si>
    <t>106 %</t>
  </si>
  <si>
    <t>5 %</t>
  </si>
  <si>
    <t>50 %</t>
  </si>
  <si>
    <t>🟢Notes</t>
  </si>
  <si>
    <t>Critical for programme viability and investor confidence; early warning of financial distress</t>
  </si>
  <si>
    <t>Ensures adequate human resources to deliver programme objectives without capacity constraints</t>
  </si>
  <si>
    <t>Maintains regulatory compliance and prevents costly delays or safety incidents</t>
  </si>
  <si>
    <t>Core performance indicator linking directly to programme success and stakeholder satisfaction</t>
  </si>
  <si>
    <t>Ensures programme remains aligned with organizational strategy and policy requirements</t>
  </si>
  <si>
    <t>Prevents technical failures and integration issues that could impact delivery quality</t>
  </si>
  <si>
    <t>Maintains stakeholder support critical for programme continuation and success</t>
  </si>
  <si>
    <t>Ensures reliable supply chain and maintains safety standards to prevent disruptions</t>
  </si>
  <si>
    <t>Supports long-term sustainability goals and regulatory environmental requirements</t>
  </si>
  <si>
    <t>Demonstrates social value delivery and maintains community support for programme activities</t>
  </si>
  <si>
    <t>Composite indicator across 5 financial risk dimensions</t>
  </si>
  <si>
    <t>Measures human resource adequacy across key dimensions</t>
  </si>
  <si>
    <t>Composite safety and regulatory compliance measure</t>
  </si>
  <si>
    <t>Overall delivery performance across key execution areas</t>
  </si>
  <si>
    <t>Measures alignment with strategic objectives and adaptability</t>
  </si>
  <si>
    <t>Technical delivery capability and integration effectiveness</t>
  </si>
  <si>
    <t>Stakeholder relationship health and reputation management</t>
  </si>
  <si>
    <t>Supply chain resilience and safety performance</t>
  </si>
  <si>
    <t>Environmental performance and sustainability progress</t>
  </si>
  <si>
    <t>Community benefit and social value delivery performance</t>
  </si>
  <si>
    <t>Budget: 78%, 
Cost: 95%, 
Funding: 40%, 
Revenue: 60%, 
Market: 42%</t>
  </si>
  <si>
    <t>Capacity: 70%, 
Skills: 85%, 
Personnel: 67%, Specialists: 50%, Recruitment: 40%</t>
  </si>
  <si>
    <t>BC: 67%, 
Fire: 70%, 
BSA: 72%, 
Safety: 40%, 
Regulatory: 45%</t>
  </si>
  <si>
    <t>Schedule: 53%, 
Quality: 47%, 
Contractors: 33%, 
Pipeline: 50%, 
Handover: 70%</t>
  </si>
  <si>
    <t>Corp Plan: 75%, 
Targets: 75%, 
Policy: 33%, 
Estate: 40%, 
Political: 70%</t>
  </si>
  <si>
    <t>Design: 80%, Infrastructure: 67%, 
Data: 25%, 
Utilities: 67%, 
Systems: 40%</t>
  </si>
  <si>
    <t>Residents: 68%, Community: 60%, Communication: 70%, Political: 78%, 
Trust: 77%</t>
  </si>
  <si>
    <t>Contractors: 83%, Materials: 65%, 
Safety: 96%, 
Quality: 95%, 
Risk Mgmt: 75%</t>
  </si>
  <si>
    <t>Net Zero: 75%, 
Carbon: 85%, 
Energy: 68%, Environmental:100%, Climate: 38%</t>
  </si>
  <si>
    <t>Employment: 96%, Apprenticeships: 78%, Procurement: 80%, Investment: 75%, 
Skills: 75%</t>
  </si>
  <si>
    <r>
      <rPr>
        <b/>
        <sz val="10"/>
        <rFont val="Arial"/>
        <family val="2"/>
      </rPr>
      <t xml:space="preserve">Input A: </t>
    </r>
    <r>
      <rPr>
        <sz val="10"/>
        <rFont val="Arial"/>
        <family val="2"/>
      </rPr>
      <t xml:space="preserve">Budget: 78%, 
</t>
    </r>
    <r>
      <rPr>
        <b/>
        <sz val="10"/>
        <rFont val="Arial"/>
        <family val="2"/>
      </rPr>
      <t>Input B:</t>
    </r>
    <r>
      <rPr>
        <sz val="10"/>
        <rFont val="Arial"/>
        <family val="2"/>
      </rPr>
      <t xml:space="preserve"> Cost: 95%, 
</t>
    </r>
    <r>
      <rPr>
        <b/>
        <sz val="10"/>
        <rFont val="Arial"/>
        <family val="2"/>
      </rPr>
      <t>Input C:</t>
    </r>
    <r>
      <rPr>
        <sz val="10"/>
        <rFont val="Arial"/>
        <family val="2"/>
      </rPr>
      <t xml:space="preserve"> Funding: 40%, 
</t>
    </r>
    <r>
      <rPr>
        <b/>
        <sz val="10"/>
        <rFont val="Arial"/>
        <family val="2"/>
      </rPr>
      <t>Input D:</t>
    </r>
    <r>
      <rPr>
        <sz val="10"/>
        <rFont val="Arial"/>
        <family val="2"/>
      </rPr>
      <t xml:space="preserve"> Revenue: 60%, 
</t>
    </r>
    <r>
      <rPr>
        <b/>
        <sz val="10"/>
        <rFont val="Arial"/>
        <family val="2"/>
      </rPr>
      <t>Input E:</t>
    </r>
    <r>
      <rPr>
        <sz val="10"/>
        <rFont val="Arial"/>
        <family val="2"/>
      </rPr>
      <t xml:space="preserve"> Market: 42%</t>
    </r>
  </si>
  <si>
    <t>Input A: Budget: 78%, 
Input B: Cost: 95%, 
Input C: Funding: 40%, 
Input D: Revenue: 60%, 
Input E: Market: 42%</t>
  </si>
  <si>
    <r>
      <rPr>
        <b/>
        <sz val="10"/>
        <rFont val="Arial"/>
        <family val="2"/>
      </rPr>
      <t>Input A:</t>
    </r>
    <r>
      <rPr>
        <sz val="10"/>
        <rFont val="Arial"/>
        <family val="2"/>
      </rPr>
      <t xml:space="preserve"> Capacity: 70%, 
</t>
    </r>
    <r>
      <rPr>
        <b/>
        <sz val="10"/>
        <rFont val="Arial"/>
        <family val="2"/>
      </rPr>
      <t>Input B:</t>
    </r>
    <r>
      <rPr>
        <sz val="10"/>
        <rFont val="Arial"/>
        <family val="2"/>
      </rPr>
      <t xml:space="preserve"> Skills: 85%, 
</t>
    </r>
    <r>
      <rPr>
        <b/>
        <sz val="10"/>
        <rFont val="Arial"/>
        <family val="2"/>
      </rPr>
      <t>Input C:</t>
    </r>
    <r>
      <rPr>
        <sz val="10"/>
        <rFont val="Arial"/>
        <family val="2"/>
      </rPr>
      <t xml:space="preserve"> Personnel: 67%, 
</t>
    </r>
    <r>
      <rPr>
        <b/>
        <sz val="10"/>
        <rFont val="Arial"/>
        <family val="2"/>
      </rPr>
      <t>Input D:</t>
    </r>
    <r>
      <rPr>
        <sz val="10"/>
        <rFont val="Arial"/>
        <family val="2"/>
      </rPr>
      <t xml:space="preserve"> Specialists: 50%, 
</t>
    </r>
    <r>
      <rPr>
        <b/>
        <sz val="10"/>
        <rFont val="Arial"/>
        <family val="2"/>
      </rPr>
      <t xml:space="preserve">Input E: </t>
    </r>
    <r>
      <rPr>
        <sz val="10"/>
        <rFont val="Arial"/>
        <family val="2"/>
      </rPr>
      <t>Recruitment: 40%</t>
    </r>
  </si>
  <si>
    <r>
      <rPr>
        <b/>
        <sz val="10"/>
        <rFont val="Arial"/>
        <family val="2"/>
      </rPr>
      <t xml:space="preserve">Input A: </t>
    </r>
    <r>
      <rPr>
        <sz val="10"/>
        <rFont val="Arial"/>
        <family val="2"/>
      </rPr>
      <t xml:space="preserve">BC: 67%, 
</t>
    </r>
    <r>
      <rPr>
        <b/>
        <sz val="10"/>
        <rFont val="Arial"/>
        <family val="2"/>
      </rPr>
      <t>Input B:</t>
    </r>
    <r>
      <rPr>
        <sz val="10"/>
        <rFont val="Arial"/>
        <family val="2"/>
      </rPr>
      <t xml:space="preserve"> Fire: 70%, 
</t>
    </r>
    <r>
      <rPr>
        <b/>
        <sz val="10"/>
        <rFont val="Arial"/>
        <family val="2"/>
      </rPr>
      <t xml:space="preserve">Input C: </t>
    </r>
    <r>
      <rPr>
        <sz val="10"/>
        <rFont val="Arial"/>
        <family val="2"/>
      </rPr>
      <t xml:space="preserve">BSA: 72%, 
</t>
    </r>
    <r>
      <rPr>
        <b/>
        <sz val="10"/>
        <rFont val="Arial"/>
        <family val="2"/>
      </rPr>
      <t>Input D:</t>
    </r>
    <r>
      <rPr>
        <sz val="10"/>
        <rFont val="Arial"/>
        <family val="2"/>
      </rPr>
      <t xml:space="preserve"> Safety: 40%, 
</t>
    </r>
    <r>
      <rPr>
        <b/>
        <sz val="10"/>
        <rFont val="Arial"/>
        <family val="2"/>
      </rPr>
      <t>Input E:</t>
    </r>
    <r>
      <rPr>
        <sz val="10"/>
        <rFont val="Arial"/>
        <family val="2"/>
      </rPr>
      <t xml:space="preserve"> Regulatory: 45%</t>
    </r>
  </si>
  <si>
    <r>
      <rPr>
        <b/>
        <sz val="10"/>
        <rFont val="Arial"/>
        <family val="2"/>
      </rPr>
      <t>Input A:</t>
    </r>
    <r>
      <rPr>
        <sz val="10"/>
        <rFont val="Arial"/>
        <family val="2"/>
      </rPr>
      <t xml:space="preserve"> Schedule: 53%, 
</t>
    </r>
    <r>
      <rPr>
        <b/>
        <sz val="10"/>
        <rFont val="Arial"/>
        <family val="2"/>
      </rPr>
      <t>Input B:</t>
    </r>
    <r>
      <rPr>
        <sz val="10"/>
        <rFont val="Arial"/>
        <family val="2"/>
      </rPr>
      <t xml:space="preserve"> Quality: 47%, 
</t>
    </r>
    <r>
      <rPr>
        <b/>
        <sz val="10"/>
        <rFont val="Arial"/>
        <family val="2"/>
      </rPr>
      <t>Input C:</t>
    </r>
    <r>
      <rPr>
        <sz val="10"/>
        <rFont val="Arial"/>
        <family val="2"/>
      </rPr>
      <t xml:space="preserve"> Contractors: 33%, 
</t>
    </r>
    <r>
      <rPr>
        <b/>
        <sz val="10"/>
        <rFont val="Arial"/>
        <family val="2"/>
      </rPr>
      <t xml:space="preserve">Input D: </t>
    </r>
    <r>
      <rPr>
        <sz val="10"/>
        <rFont val="Arial"/>
        <family val="2"/>
      </rPr>
      <t xml:space="preserve">Pipeline: 50%, 
</t>
    </r>
    <r>
      <rPr>
        <b/>
        <sz val="10"/>
        <rFont val="Arial"/>
        <family val="2"/>
      </rPr>
      <t>Input E:</t>
    </r>
    <r>
      <rPr>
        <sz val="10"/>
        <rFont val="Arial"/>
        <family val="2"/>
      </rPr>
      <t xml:space="preserve"> Handover: 70%</t>
    </r>
  </si>
  <si>
    <r>
      <rPr>
        <b/>
        <sz val="10"/>
        <rFont val="Arial"/>
        <family val="2"/>
      </rPr>
      <t>Input A</t>
    </r>
    <r>
      <rPr>
        <sz val="10"/>
        <rFont val="Arial"/>
        <family val="2"/>
      </rPr>
      <t xml:space="preserve">: Corp Plan: 75%, 
</t>
    </r>
    <r>
      <rPr>
        <b/>
        <sz val="10"/>
        <rFont val="Arial"/>
        <family val="2"/>
      </rPr>
      <t xml:space="preserve">Input B: </t>
    </r>
    <r>
      <rPr>
        <sz val="10"/>
        <rFont val="Arial"/>
        <family val="2"/>
      </rPr>
      <t xml:space="preserve">Targets: 75%, 
</t>
    </r>
    <r>
      <rPr>
        <b/>
        <sz val="10"/>
        <rFont val="Arial"/>
        <family val="2"/>
      </rPr>
      <t>Input C:</t>
    </r>
    <r>
      <rPr>
        <sz val="10"/>
        <rFont val="Arial"/>
        <family val="2"/>
      </rPr>
      <t xml:space="preserve"> Policy: 33%, 
</t>
    </r>
    <r>
      <rPr>
        <b/>
        <sz val="10"/>
        <rFont val="Arial"/>
        <family val="2"/>
      </rPr>
      <t>Input D:</t>
    </r>
    <r>
      <rPr>
        <sz val="10"/>
        <rFont val="Arial"/>
        <family val="2"/>
      </rPr>
      <t xml:space="preserve"> Estate: 40%, 
</t>
    </r>
    <r>
      <rPr>
        <b/>
        <sz val="10"/>
        <rFont val="Arial"/>
        <family val="2"/>
      </rPr>
      <t>Input E:</t>
    </r>
    <r>
      <rPr>
        <sz val="10"/>
        <rFont val="Arial"/>
        <family val="2"/>
      </rPr>
      <t xml:space="preserve"> Political: 70%</t>
    </r>
  </si>
  <si>
    <r>
      <rPr>
        <b/>
        <sz val="10"/>
        <rFont val="Arial"/>
        <family val="2"/>
      </rPr>
      <t>Input A:</t>
    </r>
    <r>
      <rPr>
        <sz val="10"/>
        <rFont val="Arial"/>
        <family val="2"/>
      </rPr>
      <t xml:space="preserve"> Design: 80%, 
</t>
    </r>
    <r>
      <rPr>
        <b/>
        <sz val="10"/>
        <rFont val="Arial"/>
        <family val="2"/>
      </rPr>
      <t>Input B:</t>
    </r>
    <r>
      <rPr>
        <sz val="10"/>
        <rFont val="Arial"/>
        <family val="2"/>
      </rPr>
      <t xml:space="preserve"> Infrastructure: 67%, 
</t>
    </r>
    <r>
      <rPr>
        <b/>
        <sz val="10"/>
        <rFont val="Arial"/>
        <family val="2"/>
      </rPr>
      <t>Input C:</t>
    </r>
    <r>
      <rPr>
        <sz val="10"/>
        <rFont val="Arial"/>
        <family val="2"/>
      </rPr>
      <t xml:space="preserve"> Data: 25%, 
</t>
    </r>
    <r>
      <rPr>
        <b/>
        <sz val="10"/>
        <rFont val="Arial"/>
        <family val="2"/>
      </rPr>
      <t>Input D:</t>
    </r>
    <r>
      <rPr>
        <sz val="10"/>
        <rFont val="Arial"/>
        <family val="2"/>
      </rPr>
      <t xml:space="preserve"> Utilities: 67%, 
</t>
    </r>
    <r>
      <rPr>
        <b/>
        <sz val="10"/>
        <rFont val="Arial"/>
        <family val="2"/>
      </rPr>
      <t xml:space="preserve">Input E: </t>
    </r>
    <r>
      <rPr>
        <sz val="10"/>
        <rFont val="Arial"/>
        <family val="2"/>
      </rPr>
      <t>Systems: 40%</t>
    </r>
  </si>
  <si>
    <r>
      <rPr>
        <b/>
        <sz val="10"/>
        <rFont val="Arial"/>
        <family val="2"/>
      </rPr>
      <t xml:space="preserve">Input A: </t>
    </r>
    <r>
      <rPr>
        <sz val="10"/>
        <rFont val="Arial"/>
        <family val="2"/>
      </rPr>
      <t xml:space="preserve">Residents: 68%, 
</t>
    </r>
    <r>
      <rPr>
        <b/>
        <sz val="10"/>
        <rFont val="Arial"/>
        <family val="2"/>
      </rPr>
      <t xml:space="preserve">Input B: </t>
    </r>
    <r>
      <rPr>
        <sz val="10"/>
        <rFont val="Arial"/>
        <family val="2"/>
      </rPr>
      <t xml:space="preserve">Community: 60%, 
</t>
    </r>
    <r>
      <rPr>
        <b/>
        <sz val="10"/>
        <rFont val="Arial"/>
        <family val="2"/>
      </rPr>
      <t xml:space="preserve">Input C: </t>
    </r>
    <r>
      <rPr>
        <sz val="10"/>
        <rFont val="Arial"/>
        <family val="2"/>
      </rPr>
      <t xml:space="preserve">Communication: 70%, 
</t>
    </r>
    <r>
      <rPr>
        <b/>
        <sz val="10"/>
        <rFont val="Arial"/>
        <family val="2"/>
      </rPr>
      <t xml:space="preserve">Input D: </t>
    </r>
    <r>
      <rPr>
        <sz val="10"/>
        <rFont val="Arial"/>
        <family val="2"/>
      </rPr>
      <t xml:space="preserve">Political: 78%, 
</t>
    </r>
    <r>
      <rPr>
        <b/>
        <sz val="10"/>
        <rFont val="Arial"/>
        <family val="2"/>
      </rPr>
      <t>Input E:</t>
    </r>
    <r>
      <rPr>
        <sz val="10"/>
        <rFont val="Arial"/>
        <family val="2"/>
      </rPr>
      <t xml:space="preserve"> Trust: 77%</t>
    </r>
  </si>
  <si>
    <r>
      <rPr>
        <b/>
        <sz val="10"/>
        <rFont val="Arial"/>
        <family val="2"/>
      </rPr>
      <t>Input A:</t>
    </r>
    <r>
      <rPr>
        <sz val="10"/>
        <rFont val="Arial"/>
        <family val="2"/>
      </rPr>
      <t xml:space="preserve"> Net Zero: 75%, 
</t>
    </r>
    <r>
      <rPr>
        <b/>
        <sz val="10"/>
        <rFont val="Arial"/>
        <family val="2"/>
      </rPr>
      <t>Input B:</t>
    </r>
    <r>
      <rPr>
        <sz val="10"/>
        <rFont val="Arial"/>
        <family val="2"/>
      </rPr>
      <t xml:space="preserve"> Carbon: 85%, 
</t>
    </r>
    <r>
      <rPr>
        <b/>
        <sz val="10"/>
        <rFont val="Arial"/>
        <family val="2"/>
      </rPr>
      <t>Input C:</t>
    </r>
    <r>
      <rPr>
        <sz val="10"/>
        <rFont val="Arial"/>
        <family val="2"/>
      </rPr>
      <t xml:space="preserve"> Energy: 68%, 
</t>
    </r>
    <r>
      <rPr>
        <b/>
        <sz val="10"/>
        <rFont val="Arial"/>
        <family val="2"/>
      </rPr>
      <t xml:space="preserve">Input D: </t>
    </r>
    <r>
      <rPr>
        <sz val="10"/>
        <rFont val="Arial"/>
        <family val="2"/>
      </rPr>
      <t xml:space="preserve">Environmental:100%, 
</t>
    </r>
    <r>
      <rPr>
        <b/>
        <sz val="10"/>
        <rFont val="Arial"/>
        <family val="2"/>
      </rPr>
      <t>Input E:</t>
    </r>
    <r>
      <rPr>
        <sz val="10"/>
        <rFont val="Arial"/>
        <family val="2"/>
      </rPr>
      <t xml:space="preserve"> Climate: 38%</t>
    </r>
  </si>
  <si>
    <r>
      <rPr>
        <b/>
        <sz val="10"/>
        <rFont val="Arial"/>
        <family val="2"/>
      </rPr>
      <t xml:space="preserve">Input A: </t>
    </r>
    <r>
      <rPr>
        <sz val="10"/>
        <rFont val="Arial"/>
        <family val="2"/>
      </rPr>
      <t xml:space="preserve">Employment: 96%, 
</t>
    </r>
    <r>
      <rPr>
        <b/>
        <sz val="10"/>
        <rFont val="Arial"/>
        <family val="2"/>
      </rPr>
      <t xml:space="preserve">Input B: </t>
    </r>
    <r>
      <rPr>
        <sz val="10"/>
        <rFont val="Arial"/>
        <family val="2"/>
      </rPr>
      <t xml:space="preserve">Apprenticeships: 78%, 
</t>
    </r>
    <r>
      <rPr>
        <b/>
        <sz val="10"/>
        <rFont val="Arial"/>
        <family val="2"/>
      </rPr>
      <t>Input C:</t>
    </r>
    <r>
      <rPr>
        <sz val="10"/>
        <rFont val="Arial"/>
        <family val="2"/>
      </rPr>
      <t xml:space="preserve"> Procurement: 80%, 
</t>
    </r>
    <r>
      <rPr>
        <b/>
        <sz val="10"/>
        <rFont val="Arial"/>
        <family val="2"/>
      </rPr>
      <t>Input D:</t>
    </r>
    <r>
      <rPr>
        <sz val="10"/>
        <rFont val="Arial"/>
        <family val="2"/>
      </rPr>
      <t xml:space="preserve"> Investment: 75%, 
</t>
    </r>
    <r>
      <rPr>
        <b/>
        <sz val="10"/>
        <rFont val="Arial"/>
        <family val="2"/>
      </rPr>
      <t>Input E:</t>
    </r>
    <r>
      <rPr>
        <sz val="10"/>
        <rFont val="Arial"/>
        <family val="2"/>
      </rPr>
      <t xml:space="preserve"> Skills: 75%</t>
    </r>
  </si>
  <si>
    <t>KRI Components - Programme Risk Indicators with Real Risk Examples</t>
  </si>
  <si>
    <t>Strategic KRI</t>
  </si>
  <si>
    <t>Risk Component Definitions</t>
  </si>
  <si>
    <t>Actual Risk Indicators in Programme</t>
  </si>
  <si>
    <t>Risk Score Calculation</t>
  </si>
  <si>
    <t>KRI Final Calculation</t>
  </si>
  <si>
    <r>
      <t>Budget</t>
    </r>
    <r>
      <rPr>
        <sz val="10"/>
        <rFont val="Arial"/>
        <family val="2"/>
      </rPr>
      <t xml:space="preserve"> = Risk-of-Scheme-Overspends
</t>
    </r>
    <r>
      <rPr>
        <b/>
        <sz val="12"/>
        <color theme="1"/>
        <rFont val="Arial"/>
        <family val="2"/>
      </rPr>
      <t>Cost</t>
    </r>
    <r>
      <rPr>
        <sz val="10"/>
        <rFont val="Arial"/>
        <family val="2"/>
      </rPr>
      <t xml:space="preserve"> = Risk-of-Contractor-Claims
</t>
    </r>
    <r>
      <rPr>
        <b/>
        <sz val="12"/>
        <color theme="1"/>
        <rFont val="Arial"/>
        <family val="2"/>
      </rPr>
      <t>Funding</t>
    </r>
    <r>
      <rPr>
        <sz val="10"/>
        <rFont val="Arial"/>
        <family val="2"/>
      </rPr>
      <t xml:space="preserve"> = Risk-of-Grant-Loss
</t>
    </r>
    <r>
      <rPr>
        <b/>
        <sz val="12"/>
        <color theme="1"/>
        <rFont val="Arial"/>
        <family val="2"/>
      </rPr>
      <t>Revenue</t>
    </r>
    <r>
      <rPr>
        <sz val="10"/>
        <rFont val="Arial"/>
        <family val="2"/>
      </rPr>
      <t xml:space="preserve"> = Risk-of-Income-Shortfall
</t>
    </r>
    <r>
      <rPr>
        <b/>
        <sz val="12"/>
        <color theme="1"/>
        <rFont val="Arial"/>
        <family val="2"/>
      </rPr>
      <t>Market</t>
    </r>
    <r>
      <rPr>
        <sz val="10"/>
        <rFont val="Arial"/>
        <family val="2"/>
      </rPr>
      <t xml:space="preserve"> = Risk-of-Property-Value-Falls</t>
    </r>
  </si>
  <si>
    <r>
      <t>Budget</t>
    </r>
    <r>
      <rPr>
        <sz val="10"/>
        <rFont val="Arial"/>
        <family val="2"/>
      </rPr>
      <t xml:space="preserve"> = 12 of 54 schemes showing budget pressure
</t>
    </r>
    <r>
      <rPr>
        <b/>
        <sz val="12"/>
        <color theme="1"/>
        <rFont val="Arial"/>
        <family val="2"/>
      </rPr>
      <t>Cost</t>
    </r>
    <r>
      <rPr>
        <sz val="10"/>
        <rFont val="Arial"/>
        <family val="2"/>
      </rPr>
      <t xml:space="preserve"> = £2.3M contractor claims across programme
</t>
    </r>
    <r>
      <rPr>
        <b/>
        <sz val="12"/>
        <color theme="1"/>
        <rFont val="Arial"/>
        <family val="2"/>
      </rPr>
      <t>Funding</t>
    </r>
    <r>
      <rPr>
        <sz val="10"/>
        <rFont val="Arial"/>
        <family val="2"/>
      </rPr>
      <t xml:space="preserve"> = £15M GLA grant at risk across pipeline
</t>
    </r>
    <r>
      <rPr>
        <b/>
        <sz val="12"/>
        <color theme="1"/>
        <rFont val="Arial"/>
        <family val="2"/>
      </rPr>
      <t>Revenue</t>
    </r>
    <r>
      <rPr>
        <sz val="10"/>
        <rFont val="Arial"/>
        <family val="2"/>
      </rPr>
      <t xml:space="preserve"> = Programme-wide sales income £8M below forecast
</t>
    </r>
    <r>
      <rPr>
        <b/>
        <sz val="12"/>
        <color theme="1"/>
        <rFont val="Arial"/>
        <family val="2"/>
      </rPr>
      <t>Market</t>
    </r>
    <r>
      <rPr>
        <sz val="10"/>
        <rFont val="Arial"/>
        <family val="2"/>
      </rPr>
      <t xml:space="preserve"> = Property values falling across all sale schemes</t>
    </r>
  </si>
  <si>
    <r>
      <t>KRI Calculation:</t>
    </r>
    <r>
      <rPr>
        <sz val="10"/>
        <rFont val="Arial"/>
        <family val="2"/>
      </rPr>
      <t xml:space="preserve">(78% + 95% + 40% + 60% + 42%) ÷ 5 = 315 ÷ 5 = </t>
    </r>
    <r>
      <rPr>
        <b/>
        <sz val="12"/>
        <color theme="1"/>
        <rFont val="Arial"/>
        <family val="2"/>
      </rPr>
      <t>63%</t>
    </r>
  </si>
  <si>
    <r>
      <t>Staff</t>
    </r>
    <r>
      <rPr>
        <sz val="10"/>
        <rFont val="Arial"/>
        <family val="2"/>
      </rPr>
      <t xml:space="preserve"> = Risk-of-Team-Shortages
</t>
    </r>
    <r>
      <rPr>
        <b/>
        <sz val="12"/>
        <color theme="1"/>
        <rFont val="Arial"/>
        <family val="2"/>
      </rPr>
      <t>Skills</t>
    </r>
    <r>
      <rPr>
        <sz val="10"/>
        <rFont val="Arial"/>
        <family val="2"/>
      </rPr>
      <t xml:space="preserve"> = Risk-of-Critical-Skills-Gaps
</t>
    </r>
    <r>
      <rPr>
        <b/>
        <sz val="12"/>
        <color theme="1"/>
        <rFont val="Arial"/>
        <family val="2"/>
      </rPr>
      <t>Personnel</t>
    </r>
    <r>
      <rPr>
        <sz val="10"/>
        <rFont val="Arial"/>
        <family val="2"/>
      </rPr>
      <t xml:space="preserve"> = Risk-of-Key-Staff-Departures
</t>
    </r>
    <r>
      <rPr>
        <b/>
        <sz val="12"/>
        <color theme="1"/>
        <rFont val="Arial"/>
        <family val="2"/>
      </rPr>
      <t>Specialist</t>
    </r>
    <r>
      <rPr>
        <sz val="10"/>
        <rFont val="Arial"/>
        <family val="2"/>
      </rPr>
      <t xml:space="preserve"> = Risk-of-Expert-Unavailability
</t>
    </r>
    <r>
      <rPr>
        <b/>
        <sz val="12"/>
        <color theme="1"/>
        <rFont val="Arial"/>
        <family val="2"/>
      </rPr>
      <t>Recruitment</t>
    </r>
    <r>
      <rPr>
        <sz val="10"/>
        <rFont val="Arial"/>
        <family val="2"/>
      </rPr>
      <t xml:space="preserve"> = Risk-of-Recruitment-Failures</t>
    </r>
  </si>
  <si>
    <r>
      <t>Staff</t>
    </r>
    <r>
      <rPr>
        <sz val="10"/>
        <rFont val="Arial"/>
        <family val="2"/>
      </rPr>
      <t xml:space="preserve"> = 15 vacant posts across programme teams
</t>
    </r>
    <r>
      <rPr>
        <b/>
        <sz val="12"/>
        <color theme="1"/>
        <rFont val="Arial"/>
        <family val="2"/>
      </rPr>
      <t>Skills</t>
    </r>
    <r>
      <rPr>
        <sz val="10"/>
        <rFont val="Arial"/>
        <family val="2"/>
      </rPr>
      <t xml:space="preserve"> = Fire safety expertise gap affecting 8 schemes
</t>
    </r>
    <r>
      <rPr>
        <b/>
        <sz val="12"/>
        <color theme="1"/>
        <rFont val="Arial"/>
        <family val="2"/>
      </rPr>
      <t>Personnel</t>
    </r>
    <r>
      <rPr>
        <sz val="10"/>
        <rFont val="Arial"/>
        <family val="2"/>
      </rPr>
      <t xml:space="preserve"> = 4 key managers at departure risk
</t>
    </r>
    <r>
      <rPr>
        <b/>
        <sz val="12"/>
        <color theme="1"/>
        <rFont val="Arial"/>
        <family val="2"/>
      </rPr>
      <t>Specialist</t>
    </r>
    <r>
      <rPr>
        <sz val="10"/>
        <rFont val="Arial"/>
        <family val="2"/>
      </rPr>
      <t xml:space="preserve"> = OT/Legal resource gaps affecting pipeline
</t>
    </r>
    <r>
      <rPr>
        <b/>
        <sz val="12"/>
        <color theme="1"/>
        <rFont val="Arial"/>
        <family val="2"/>
      </rPr>
      <t>Recruitment</t>
    </r>
    <r>
      <rPr>
        <sz val="10"/>
        <rFont val="Arial"/>
        <family val="2"/>
      </rPr>
      <t xml:space="preserve"> = 6 senior role recruitment failures</t>
    </r>
  </si>
  <si>
    <r>
      <t>KRI Calculation:</t>
    </r>
    <r>
      <rPr>
        <sz val="10"/>
        <rFont val="Arial"/>
        <family val="2"/>
      </rPr>
      <t xml:space="preserve">(70% + 85% + 67% + 50% + 40%) ÷ 5 = 312 ÷ 5 = </t>
    </r>
    <r>
      <rPr>
        <b/>
        <sz val="12"/>
        <color theme="1"/>
        <rFont val="Arial"/>
        <family val="2"/>
      </rPr>
      <t>62%</t>
    </r>
  </si>
  <si>
    <r>
      <t>Building</t>
    </r>
    <r>
      <rPr>
        <sz val="10"/>
        <rFont val="Arial"/>
        <family val="2"/>
      </rPr>
      <t xml:space="preserve"> = Risk-of-BC-Approval-Delays
</t>
    </r>
    <r>
      <rPr>
        <b/>
        <sz val="12"/>
        <color theme="1"/>
        <rFont val="Arial"/>
        <family val="2"/>
      </rPr>
      <t>Fire</t>
    </r>
    <r>
      <rPr>
        <sz val="10"/>
        <rFont val="Arial"/>
        <family val="2"/>
      </rPr>
      <t xml:space="preserve"> = Risk-of-LFB-Rejections
</t>
    </r>
    <r>
      <rPr>
        <b/>
        <sz val="12"/>
        <color theme="1"/>
        <rFont val="Arial"/>
        <family val="2"/>
      </rPr>
      <t>Safety</t>
    </r>
    <r>
      <rPr>
        <sz val="10"/>
        <rFont val="Arial"/>
        <family val="2"/>
      </rPr>
      <t xml:space="preserve"> = Risk-of-Safety-Non-Compliance
</t>
    </r>
    <r>
      <rPr>
        <b/>
        <sz val="12"/>
        <color theme="1"/>
        <rFont val="Arial"/>
        <family val="2"/>
      </rPr>
      <t>BSA</t>
    </r>
    <r>
      <rPr>
        <sz val="10"/>
        <rFont val="Arial"/>
        <family val="2"/>
      </rPr>
      <t xml:space="preserve"> = Risk-of-Gateway-Failures
</t>
    </r>
    <r>
      <rPr>
        <b/>
        <sz val="12"/>
        <color theme="1"/>
        <rFont val="Arial"/>
        <family val="2"/>
      </rPr>
      <t>Regulatory</t>
    </r>
    <r>
      <rPr>
        <sz val="10"/>
        <rFont val="Arial"/>
        <family val="2"/>
      </rPr>
      <t xml:space="preserve"> = Risk-of-Legal-Breaches</t>
    </r>
  </si>
  <si>
    <r>
      <t>Building</t>
    </r>
    <r>
      <rPr>
        <sz val="10"/>
        <rFont val="Arial"/>
        <family val="2"/>
      </rPr>
      <t xml:space="preserve"> = 18 schemes experiencing BC delays
</t>
    </r>
    <r>
      <rPr>
        <b/>
        <sz val="12"/>
        <color theme="1"/>
        <rFont val="Arial"/>
        <family val="2"/>
      </rPr>
      <t>Fire</t>
    </r>
    <r>
      <rPr>
        <sz val="10"/>
        <rFont val="Arial"/>
        <family val="2"/>
      </rPr>
      <t xml:space="preserve"> = LFB issues across 6 schemes (bike storage)
</t>
    </r>
    <r>
      <rPr>
        <b/>
        <sz val="12"/>
        <color theme="1"/>
        <rFont val="Arial"/>
        <family val="2"/>
      </rPr>
      <t>Safety</t>
    </r>
    <r>
      <rPr>
        <sz val="10"/>
        <rFont val="Arial"/>
        <family val="2"/>
      </rPr>
      <t xml:space="preserve"> = Lightning protection gaps on 7 buildings
</t>
    </r>
    <r>
      <rPr>
        <b/>
        <sz val="12"/>
        <color theme="1"/>
        <rFont val="Arial"/>
        <family val="2"/>
      </rPr>
      <t>BSA</t>
    </r>
    <r>
      <rPr>
        <sz val="10"/>
        <rFont val="Arial"/>
        <family val="2"/>
      </rPr>
      <t xml:space="preserve"> = 9 schemes at Gateway risk (18m+ height)
</t>
    </r>
    <r>
      <rPr>
        <b/>
        <sz val="12"/>
        <color theme="1"/>
        <rFont val="Arial"/>
        <family val="2"/>
      </rPr>
      <t>Regulatory</t>
    </r>
    <r>
      <rPr>
        <sz val="10"/>
        <rFont val="Arial"/>
        <family val="2"/>
      </rPr>
      <t xml:space="preserve"> = PCR compliance risk across procurement</t>
    </r>
  </si>
  <si>
    <r>
      <t>KRI Calculation:</t>
    </r>
    <r>
      <rPr>
        <sz val="10"/>
        <rFont val="Arial"/>
        <family val="2"/>
      </rPr>
      <t xml:space="preserve">(67% + 70% + 72% + 40% + 45%) ÷ 5 = 294 ÷ 5 = </t>
    </r>
    <r>
      <rPr>
        <b/>
        <sz val="12"/>
        <color theme="1"/>
        <rFont val="Arial"/>
        <family val="2"/>
      </rPr>
      <t>59%</t>
    </r>
  </si>
  <si>
    <r>
      <t>Schedule</t>
    </r>
    <r>
      <rPr>
        <sz val="10"/>
        <rFont val="Arial"/>
        <family val="2"/>
      </rPr>
      <t xml:space="preserve"> = Risk-of-Project-Delays
</t>
    </r>
    <r>
      <rPr>
        <b/>
        <sz val="12"/>
        <color theme="1"/>
        <rFont val="Arial"/>
        <family val="2"/>
      </rPr>
      <t>Quality</t>
    </r>
    <r>
      <rPr>
        <sz val="10"/>
        <rFont val="Arial"/>
        <family val="2"/>
      </rPr>
      <t xml:space="preserve"> = Risk-of-Defects-Post-Completion
</t>
    </r>
    <r>
      <rPr>
        <b/>
        <sz val="12"/>
        <color theme="1"/>
        <rFont val="Arial"/>
        <family val="2"/>
      </rPr>
      <t>Contractor</t>
    </r>
    <r>
      <rPr>
        <sz val="10"/>
        <rFont val="Arial"/>
        <family val="2"/>
      </rPr>
      <t xml:space="preserve"> = Risk-of-Contractor-Disputes
</t>
    </r>
    <r>
      <rPr>
        <b/>
        <sz val="12"/>
        <color theme="1"/>
        <rFont val="Arial"/>
        <family val="2"/>
      </rPr>
      <t>Pipeline</t>
    </r>
    <r>
      <rPr>
        <sz val="10"/>
        <rFont val="Arial"/>
        <family val="2"/>
      </rPr>
      <t xml:space="preserve"> = Risk-of-Schemes-Not-Starting
</t>
    </r>
    <r>
      <rPr>
        <b/>
        <sz val="12"/>
        <color theme="1"/>
        <rFont val="Arial"/>
        <family val="2"/>
      </rPr>
      <t>Handover</t>
    </r>
    <r>
      <rPr>
        <sz val="10"/>
        <rFont val="Arial"/>
        <family val="2"/>
      </rPr>
      <t xml:space="preserve"> = Risk-of-PC-Failures</t>
    </r>
  </si>
  <si>
    <r>
      <t>Schedule</t>
    </r>
    <r>
      <rPr>
        <sz val="10"/>
        <rFont val="Arial"/>
        <family val="2"/>
      </rPr>
      <t xml:space="preserve"> = 14 active schemes behind programme
</t>
    </r>
    <r>
      <rPr>
        <b/>
        <sz val="12"/>
        <color theme="1"/>
        <rFont val="Arial"/>
        <family val="2"/>
      </rPr>
      <t>Quality</t>
    </r>
    <r>
      <rPr>
        <sz val="10"/>
        <rFont val="Arial"/>
        <family val="2"/>
      </rPr>
      <t xml:space="preserve"> = Defect rates rising across completions
</t>
    </r>
    <r>
      <rPr>
        <b/>
        <sz val="12"/>
        <color theme="1"/>
        <rFont val="Arial"/>
        <family val="2"/>
      </rPr>
      <t>Contractor</t>
    </r>
    <r>
      <rPr>
        <sz val="10"/>
        <rFont val="Arial"/>
        <family val="2"/>
      </rPr>
      <t xml:space="preserve"> = 8 contractors in active disputes
</t>
    </r>
    <r>
      <rPr>
        <b/>
        <sz val="12"/>
        <color theme="1"/>
        <rFont val="Arial"/>
        <family val="2"/>
      </rPr>
      <t>Pipeline</t>
    </r>
    <r>
      <rPr>
        <sz val="10"/>
        <rFont val="Arial"/>
        <family val="2"/>
      </rPr>
      <t xml:space="preserve"> = 5 future schemes not ready to start
</t>
    </r>
    <r>
      <rPr>
        <b/>
        <sz val="12"/>
        <color theme="1"/>
        <rFont val="Arial"/>
        <family val="2"/>
      </rPr>
      <t>Handover</t>
    </r>
    <r>
      <rPr>
        <sz val="10"/>
        <rFont val="Arial"/>
        <family val="2"/>
      </rPr>
      <t xml:space="preserve"> = PC delays affecting void periods</t>
    </r>
  </si>
  <si>
    <r>
      <t>KRI Calculation:</t>
    </r>
    <r>
      <rPr>
        <sz val="10"/>
        <rFont val="Arial"/>
        <family val="2"/>
      </rPr>
      <t xml:space="preserve">(53% + 47% + 33% + 50% + 70%) ÷ 5 = 253 ÷ 5 = </t>
    </r>
    <r>
      <rPr>
        <b/>
        <sz val="12"/>
        <color theme="1"/>
        <rFont val="Arial"/>
        <family val="2"/>
      </rPr>
      <t>51%</t>
    </r>
  </si>
  <si>
    <r>
      <t>Corporate</t>
    </r>
    <r>
      <rPr>
        <sz val="10"/>
        <rFont val="Arial"/>
        <family val="2"/>
      </rPr>
      <t xml:space="preserve"> = Risk-of-Missing-Plan-Targets
</t>
    </r>
    <r>
      <rPr>
        <b/>
        <sz val="12"/>
        <color theme="1"/>
        <rFont val="Arial"/>
        <family val="2"/>
      </rPr>
      <t>Housing</t>
    </r>
    <r>
      <rPr>
        <sz val="10"/>
        <rFont val="Arial"/>
        <family val="2"/>
      </rPr>
      <t xml:space="preserve"> = Risk-of-Homes-Target-Failure
</t>
    </r>
    <r>
      <rPr>
        <b/>
        <sz val="12"/>
        <color theme="1"/>
        <rFont val="Arial"/>
        <family val="2"/>
      </rPr>
      <t>Policy</t>
    </r>
    <r>
      <rPr>
        <sz val="10"/>
        <rFont val="Arial"/>
        <family val="2"/>
      </rPr>
      <t xml:space="preserve"> = Risk-of-Slow-Policy-Adaptation
</t>
    </r>
    <r>
      <rPr>
        <b/>
        <sz val="12"/>
        <color theme="1"/>
        <rFont val="Arial"/>
        <family val="2"/>
      </rPr>
      <t>Estate</t>
    </r>
    <r>
      <rPr>
        <sz val="10"/>
        <rFont val="Arial"/>
        <family val="2"/>
      </rPr>
      <t xml:space="preserve"> = Risk-of-Buyback-Delays
</t>
    </r>
    <r>
      <rPr>
        <b/>
        <sz val="12"/>
        <color theme="1"/>
        <rFont val="Arial"/>
        <family val="2"/>
      </rPr>
      <t>Political</t>
    </r>
    <r>
      <rPr>
        <sz val="10"/>
        <rFont val="Arial"/>
        <family val="2"/>
      </rPr>
      <t xml:space="preserve"> = Risk-of-Political-Support-Loss</t>
    </r>
  </si>
  <si>
    <r>
      <t>Corporate</t>
    </r>
    <r>
      <rPr>
        <sz val="10"/>
        <rFont val="Arial"/>
        <family val="2"/>
      </rPr>
      <t xml:space="preserve"> = Programme 25% behind Corporate Plan
</t>
    </r>
    <r>
      <rPr>
        <b/>
        <sz val="12"/>
        <color theme="1"/>
        <rFont val="Arial"/>
        <family val="2"/>
      </rPr>
      <t>Housing</t>
    </r>
    <r>
      <rPr>
        <sz val="10"/>
        <rFont val="Arial"/>
        <family val="2"/>
      </rPr>
      <t xml:space="preserve"> = Annual target shortfall across pipeline
</t>
    </r>
    <r>
      <rPr>
        <b/>
        <sz val="12"/>
        <color theme="1"/>
        <rFont val="Arial"/>
        <family val="2"/>
      </rPr>
      <t>Policy</t>
    </r>
    <r>
      <rPr>
        <sz val="10"/>
        <rFont val="Arial"/>
        <family val="2"/>
      </rPr>
      <t xml:space="preserve"> = BSA changes affecting multiple schemes
</t>
    </r>
    <r>
      <rPr>
        <b/>
        <sz val="12"/>
        <color theme="1"/>
        <rFont val="Arial"/>
        <family val="2"/>
      </rPr>
      <t>Estate</t>
    </r>
    <r>
      <rPr>
        <sz val="10"/>
        <rFont val="Arial"/>
        <family val="2"/>
      </rPr>
      <t xml:space="preserve"> = Estate renewal delays on 3 major sites
</t>
    </r>
    <r>
      <rPr>
        <b/>
        <sz val="12"/>
        <color theme="1"/>
        <rFont val="Arial"/>
        <family val="2"/>
      </rPr>
      <t>Political</t>
    </r>
    <r>
      <rPr>
        <sz val="10"/>
        <rFont val="Arial"/>
        <family val="2"/>
      </rPr>
      <t xml:space="preserve"> = Cabinet support concerns emerging</t>
    </r>
  </si>
  <si>
    <r>
      <t>KRI Calculation:</t>
    </r>
    <r>
      <rPr>
        <sz val="10"/>
        <rFont val="Arial"/>
        <family val="2"/>
      </rPr>
      <t xml:space="preserve">(75% + 75% + 33% + 40% + 70%) ÷ 5 = 293 ÷ 5 = </t>
    </r>
    <r>
      <rPr>
        <b/>
        <sz val="12"/>
        <color theme="1"/>
        <rFont val="Arial"/>
        <family val="2"/>
      </rPr>
      <t>59%</t>
    </r>
  </si>
  <si>
    <r>
      <t>Design</t>
    </r>
    <r>
      <rPr>
        <sz val="10"/>
        <rFont val="Arial"/>
        <family val="2"/>
      </rPr>
      <t xml:space="preserve"> = Risk-of-Design-Changes
</t>
    </r>
    <r>
      <rPr>
        <b/>
        <sz val="12"/>
        <color theme="1"/>
        <rFont val="Arial"/>
        <family val="2"/>
      </rPr>
      <t>Infrastructure</t>
    </r>
    <r>
      <rPr>
        <sz val="10"/>
        <rFont val="Arial"/>
        <family val="2"/>
      </rPr>
      <t xml:space="preserve"> = Risk-of-S278-Delays
</t>
    </r>
    <r>
      <rPr>
        <b/>
        <sz val="12"/>
        <color theme="1"/>
        <rFont val="Arial"/>
        <family val="2"/>
      </rPr>
      <t>Data</t>
    </r>
    <r>
      <rPr>
        <sz val="10"/>
        <rFont val="Arial"/>
        <family val="2"/>
      </rPr>
      <t xml:space="preserve"> = Risk-of-Inaccurate-Project-Data
</t>
    </r>
    <r>
      <rPr>
        <b/>
        <sz val="12"/>
        <color theme="1"/>
        <rFont val="Arial"/>
        <family val="2"/>
      </rPr>
      <t>Utilities</t>
    </r>
    <r>
      <rPr>
        <sz val="10"/>
        <rFont val="Arial"/>
        <family val="2"/>
      </rPr>
      <t xml:space="preserve"> = Risk-of-Connection-Delays
</t>
    </r>
    <r>
      <rPr>
        <b/>
        <sz val="12"/>
        <color theme="1"/>
        <rFont val="Arial"/>
        <family val="2"/>
      </rPr>
      <t>Systems</t>
    </r>
    <r>
      <rPr>
        <sz val="10"/>
        <rFont val="Arial"/>
        <family val="2"/>
      </rPr>
      <t xml:space="preserve"> = Risk-of-System-Integration-Failure</t>
    </r>
  </si>
  <si>
    <r>
      <t>Design</t>
    </r>
    <r>
      <rPr>
        <sz val="10"/>
        <rFont val="Arial"/>
        <family val="2"/>
      </rPr>
      <t xml:space="preserve"> = Design changes impacting 11 schemes
</t>
    </r>
    <r>
      <rPr>
        <b/>
        <sz val="12"/>
        <color theme="1"/>
        <rFont val="Arial"/>
        <family val="2"/>
      </rPr>
      <t>Infrastructure</t>
    </r>
    <r>
      <rPr>
        <sz val="10"/>
        <rFont val="Arial"/>
        <family val="2"/>
      </rPr>
      <t xml:space="preserve"> = S278 delays across multiple sites
</t>
    </r>
    <r>
      <rPr>
        <b/>
        <sz val="12"/>
        <color theme="1"/>
        <rFont val="Arial"/>
        <family val="2"/>
      </rPr>
      <t>Data</t>
    </r>
    <r>
      <rPr>
        <sz val="10"/>
        <rFont val="Arial"/>
        <family val="2"/>
      </rPr>
      <t xml:space="preserve"> = Data quality issues affecting reporting
</t>
    </r>
    <r>
      <rPr>
        <b/>
        <sz val="12"/>
        <color theme="1"/>
        <rFont val="Arial"/>
        <family val="2"/>
      </rPr>
      <t>Utilities</t>
    </r>
    <r>
      <rPr>
        <sz val="10"/>
        <rFont val="Arial"/>
        <family val="2"/>
      </rPr>
      <t xml:space="preserve"> = SELCHP/utilities coordination risks
</t>
    </r>
    <r>
      <rPr>
        <b/>
        <sz val="12"/>
        <color theme="1"/>
        <rFont val="Arial"/>
        <family val="2"/>
      </rPr>
      <t>Systems</t>
    </r>
    <r>
      <rPr>
        <sz val="10"/>
        <rFont val="Arial"/>
        <family val="2"/>
      </rPr>
      <t xml:space="preserve"> = SIB processes undefined programme-wide</t>
    </r>
  </si>
  <si>
    <r>
      <t>KRI Calculation:</t>
    </r>
    <r>
      <rPr>
        <sz val="10"/>
        <rFont val="Arial"/>
        <family val="2"/>
      </rPr>
      <t xml:space="preserve">(80% + 67% + 25% + 67% + 40%) ÷ 5 = 279 ÷ 5 = </t>
    </r>
    <r>
      <rPr>
        <b/>
        <sz val="12"/>
        <color theme="1"/>
        <rFont val="Arial"/>
        <family val="2"/>
      </rPr>
      <t>56%</t>
    </r>
  </si>
  <si>
    <r>
      <t>Resident</t>
    </r>
    <r>
      <rPr>
        <sz val="10"/>
        <rFont val="Arial"/>
        <family val="2"/>
      </rPr>
      <t xml:space="preserve"> = Risk-of-Low-Satisfaction
</t>
    </r>
    <r>
      <rPr>
        <b/>
        <sz val="12"/>
        <color theme="1"/>
        <rFont val="Arial"/>
        <family val="2"/>
      </rPr>
      <t>Community</t>
    </r>
    <r>
      <rPr>
        <sz val="10"/>
        <rFont val="Arial"/>
        <family val="2"/>
      </rPr>
      <t xml:space="preserve"> = Risk-of-Community-Opposition
</t>
    </r>
    <r>
      <rPr>
        <b/>
        <sz val="12"/>
        <color theme="1"/>
        <rFont val="Arial"/>
        <family val="2"/>
      </rPr>
      <t>Communication</t>
    </r>
    <r>
      <rPr>
        <sz val="10"/>
        <rFont val="Arial"/>
        <family val="2"/>
      </rPr>
      <t xml:space="preserve"> = Risk-of-Communication-Failures
</t>
    </r>
    <r>
      <rPr>
        <b/>
        <sz val="12"/>
        <color theme="1"/>
        <rFont val="Arial"/>
        <family val="2"/>
      </rPr>
      <t>Political</t>
    </r>
    <r>
      <rPr>
        <sz val="10"/>
        <rFont val="Arial"/>
        <family val="2"/>
      </rPr>
      <t xml:space="preserve"> = Risk-of-Political-Confidence-Loss
</t>
    </r>
    <r>
      <rPr>
        <b/>
        <sz val="12"/>
        <color theme="1"/>
        <rFont val="Arial"/>
        <family val="2"/>
      </rPr>
      <t>Trust</t>
    </r>
    <r>
      <rPr>
        <sz val="10"/>
        <rFont val="Arial"/>
        <family val="2"/>
      </rPr>
      <t xml:space="preserve"> = Risk-of-Stakeholder-Trust-Erosion</t>
    </r>
  </si>
  <si>
    <r>
      <t>Resident</t>
    </r>
    <r>
      <rPr>
        <sz val="10"/>
        <rFont val="Arial"/>
        <family val="2"/>
      </rPr>
      <t xml:space="preserve"> = Satisfaction declining across completions
</t>
    </r>
    <r>
      <rPr>
        <b/>
        <sz val="12"/>
        <color theme="1"/>
        <rFont val="Arial"/>
        <family val="2"/>
      </rPr>
      <t>Community</t>
    </r>
    <r>
      <rPr>
        <sz val="10"/>
        <rFont val="Arial"/>
        <family val="2"/>
      </rPr>
      <t xml:space="preserve"> = Opposition emerging on 4 schemes
</t>
    </r>
    <r>
      <rPr>
        <b/>
        <sz val="12"/>
        <color theme="1"/>
        <rFont val="Arial"/>
        <family val="2"/>
      </rPr>
      <t>Communication</t>
    </r>
    <r>
      <rPr>
        <sz val="10"/>
        <rFont val="Arial"/>
        <family val="2"/>
      </rPr>
      <t xml:space="preserve"> = Programme communication gaps
</t>
    </r>
    <r>
      <rPr>
        <b/>
        <sz val="12"/>
        <color theme="1"/>
        <rFont val="Arial"/>
        <family val="2"/>
      </rPr>
      <t>Political</t>
    </r>
    <r>
      <rPr>
        <sz val="10"/>
        <rFont val="Arial"/>
        <family val="2"/>
      </rPr>
      <t xml:space="preserve"> = Political confidence trending down
</t>
    </r>
    <r>
      <rPr>
        <b/>
        <sz val="12"/>
        <color theme="1"/>
        <rFont val="Arial"/>
        <family val="2"/>
      </rPr>
      <t>Trust</t>
    </r>
    <r>
      <rPr>
        <sz val="10"/>
        <rFont val="Arial"/>
        <family val="2"/>
      </rPr>
      <t xml:space="preserve"> = External stakeholder concerns rising</t>
    </r>
  </si>
  <si>
    <r>
      <t>KRI Calculation:</t>
    </r>
    <r>
      <rPr>
        <sz val="10"/>
        <rFont val="Arial"/>
        <family val="2"/>
      </rPr>
      <t xml:space="preserve">(68% + 60% + 70% + 78% + 77%) ÷ 5 = 353 ÷ 5 = </t>
    </r>
    <r>
      <rPr>
        <b/>
        <sz val="12"/>
        <color theme="1"/>
        <rFont val="Arial"/>
        <family val="2"/>
      </rPr>
      <t>71%</t>
    </r>
  </si>
  <si>
    <r>
      <t>Contractor</t>
    </r>
    <r>
      <rPr>
        <sz val="10"/>
        <rFont val="Arial"/>
        <family val="2"/>
      </rPr>
      <t xml:space="preserve"> = Risk-of-Contractor-Financial-Failure
</t>
    </r>
    <r>
      <rPr>
        <b/>
        <sz val="12"/>
        <color theme="1"/>
        <rFont val="Arial"/>
        <family val="2"/>
      </rPr>
      <t>Material</t>
    </r>
    <r>
      <rPr>
        <sz val="10"/>
        <rFont val="Arial"/>
        <family val="2"/>
      </rPr>
      <t xml:space="preserve"> = Risk-of-Material-Price-Escalation
</t>
    </r>
    <r>
      <rPr>
        <b/>
        <sz val="12"/>
        <color theme="1"/>
        <rFont val="Arial"/>
        <family val="2"/>
      </rPr>
      <t>Safety</t>
    </r>
    <r>
      <rPr>
        <sz val="10"/>
        <rFont val="Arial"/>
        <family val="2"/>
      </rPr>
      <t xml:space="preserve"> = Risk-of-Safety-Incidents
</t>
    </r>
    <r>
      <rPr>
        <b/>
        <sz val="12"/>
        <color theme="1"/>
        <rFont val="Arial"/>
        <family val="2"/>
      </rPr>
      <t>Quality</t>
    </r>
    <r>
      <rPr>
        <sz val="10"/>
        <rFont val="Arial"/>
        <family val="2"/>
      </rPr>
      <t xml:space="preserve"> = Risk-of-Quality-Standard-Failures
</t>
    </r>
    <r>
      <rPr>
        <b/>
        <sz val="12"/>
        <color theme="1"/>
        <rFont val="Arial"/>
        <family val="2"/>
      </rPr>
      <t>Risk</t>
    </r>
    <r>
      <rPr>
        <sz val="10"/>
        <rFont val="Arial"/>
        <family val="2"/>
      </rPr>
      <t xml:space="preserve"> = Risk-of-Unmitigated-Safety-Hazards</t>
    </r>
  </si>
  <si>
    <r>
      <t>Contractor</t>
    </r>
    <r>
      <rPr>
        <sz val="10"/>
        <rFont val="Arial"/>
        <family val="2"/>
      </rPr>
      <t xml:space="preserve"> = 2 contractors showing financial stress
</t>
    </r>
    <r>
      <rPr>
        <b/>
        <sz val="12"/>
        <color theme="1"/>
        <rFont val="Arial"/>
        <family val="2"/>
      </rPr>
      <t>Material</t>
    </r>
    <r>
      <rPr>
        <sz val="10"/>
        <rFont val="Arial"/>
        <family val="2"/>
      </rPr>
      <t xml:space="preserve"> = Material price pressures programme-wide
</t>
    </r>
    <r>
      <rPr>
        <b/>
        <sz val="12"/>
        <color theme="1"/>
        <rFont val="Arial"/>
        <family val="2"/>
      </rPr>
      <t>Safety</t>
    </r>
    <r>
      <rPr>
        <sz val="10"/>
        <rFont val="Arial"/>
        <family val="2"/>
      </rPr>
      <t xml:space="preserve"> = Safety performance stable across sites
</t>
    </r>
    <r>
      <rPr>
        <b/>
        <sz val="12"/>
        <color theme="1"/>
        <rFont val="Arial"/>
        <family val="2"/>
      </rPr>
      <t>Quality</t>
    </r>
    <r>
      <rPr>
        <sz val="10"/>
        <rFont val="Arial"/>
        <family val="2"/>
      </rPr>
      <t xml:space="preserve"> = Quality standards maintained overall
</t>
    </r>
    <r>
      <rPr>
        <b/>
        <sz val="12"/>
        <color theme="1"/>
        <rFont val="Arial"/>
        <family val="2"/>
      </rPr>
      <t>Risk</t>
    </r>
    <r>
      <rPr>
        <sz val="10"/>
        <rFont val="Arial"/>
        <family val="2"/>
      </rPr>
      <t xml:space="preserve"> = Safety risk management functioning</t>
    </r>
  </si>
  <si>
    <r>
      <t>KRI Calculation:</t>
    </r>
    <r>
      <rPr>
        <sz val="10"/>
        <rFont val="Arial"/>
        <family val="2"/>
      </rPr>
      <t xml:space="preserve">(83% + 65% + 96% + 95% + 75%) ÷ 5 = 414 ÷ 5 = </t>
    </r>
    <r>
      <rPr>
        <b/>
        <sz val="12"/>
        <color theme="1"/>
        <rFont val="Arial"/>
        <family val="2"/>
      </rPr>
      <t>83%</t>
    </r>
  </si>
  <si>
    <r>
      <t>Net</t>
    </r>
    <r>
      <rPr>
        <sz val="10"/>
        <rFont val="Arial"/>
        <family val="2"/>
      </rPr>
      <t xml:space="preserve"> = Risk-of-Missing-Net-Zero-Targets
</t>
    </r>
    <r>
      <rPr>
        <b/>
        <sz val="12"/>
        <color theme="1"/>
        <rFont val="Arial"/>
        <family val="2"/>
      </rPr>
      <t>Carbon</t>
    </r>
    <r>
      <rPr>
        <sz val="10"/>
        <rFont val="Arial"/>
        <family val="2"/>
      </rPr>
      <t xml:space="preserve"> = Risk-of-Carbon-Target-Breach
</t>
    </r>
    <r>
      <rPr>
        <b/>
        <sz val="12"/>
        <color theme="1"/>
        <rFont val="Arial"/>
        <family val="2"/>
      </rPr>
      <t>Energy</t>
    </r>
    <r>
      <rPr>
        <sz val="10"/>
        <rFont val="Arial"/>
        <family val="2"/>
      </rPr>
      <t xml:space="preserve"> = Risk-of-Energy-Efficiency-Failure
</t>
    </r>
    <r>
      <rPr>
        <b/>
        <sz val="12"/>
        <color theme="1"/>
        <rFont val="Arial"/>
        <family val="2"/>
      </rPr>
      <t>Environmental</t>
    </r>
    <r>
      <rPr>
        <sz val="10"/>
        <rFont val="Arial"/>
        <family val="2"/>
      </rPr>
      <t xml:space="preserve"> = Risk-of-Environmental-Breaches
</t>
    </r>
    <r>
      <rPr>
        <b/>
        <sz val="12"/>
        <color theme="1"/>
        <rFont val="Arial"/>
        <family val="2"/>
      </rPr>
      <t>Climate</t>
    </r>
    <r>
      <rPr>
        <sz val="10"/>
        <rFont val="Arial"/>
        <family val="2"/>
      </rPr>
      <t xml:space="preserve"> = Risk-of-Climate-Impact-Unaddressed</t>
    </r>
  </si>
  <si>
    <r>
      <t>Net</t>
    </r>
    <r>
      <rPr>
        <sz val="10"/>
        <rFont val="Arial"/>
        <family val="2"/>
      </rPr>
      <t xml:space="preserve"> = Net zero trajectory risk across pipeline
</t>
    </r>
    <r>
      <rPr>
        <b/>
        <sz val="12"/>
        <color theme="1"/>
        <rFont val="Arial"/>
        <family val="2"/>
      </rPr>
      <t>Carbon</t>
    </r>
    <r>
      <rPr>
        <sz val="10"/>
        <rFont val="Arial"/>
        <family val="2"/>
      </rPr>
      <t xml:space="preserve"> = Carbon targets pressure on new schemes
</t>
    </r>
    <r>
      <rPr>
        <b/>
        <sz val="12"/>
        <color theme="1"/>
        <rFont val="Arial"/>
        <family val="2"/>
      </rPr>
      <t>Energy</t>
    </r>
    <r>
      <rPr>
        <sz val="10"/>
        <rFont val="Arial"/>
        <family val="2"/>
      </rPr>
      <t xml:space="preserve"> = Energy efficiency challenges emerging
</t>
    </r>
    <r>
      <rPr>
        <b/>
        <sz val="12"/>
        <color theme="1"/>
        <rFont val="Arial"/>
        <family val="2"/>
      </rPr>
      <t>Environmental</t>
    </r>
    <r>
      <rPr>
        <sz val="10"/>
        <rFont val="Arial"/>
        <family val="2"/>
      </rPr>
      <t xml:space="preserve"> = Environmental compliance maintained
</t>
    </r>
    <r>
      <rPr>
        <b/>
        <sz val="12"/>
        <color theme="1"/>
        <rFont val="Arial"/>
        <family val="2"/>
      </rPr>
      <t>Climate</t>
    </r>
    <r>
      <rPr>
        <sz val="10"/>
        <rFont val="Arial"/>
        <family val="2"/>
      </rPr>
      <t xml:space="preserve"> = Climate resilience planning gaps</t>
    </r>
  </si>
  <si>
    <r>
      <t>KRI Calculation:</t>
    </r>
    <r>
      <rPr>
        <sz val="10"/>
        <rFont val="Arial"/>
        <family val="2"/>
      </rPr>
      <t xml:space="preserve">(75% + 85% + 68% + 100% + 38%) ÷ 5 = 366 ÷ 5 = </t>
    </r>
    <r>
      <rPr>
        <b/>
        <sz val="12"/>
        <color theme="1"/>
        <rFont val="Arial"/>
        <family val="2"/>
      </rPr>
      <t>73%</t>
    </r>
  </si>
  <si>
    <r>
      <t>Employment</t>
    </r>
    <r>
      <rPr>
        <sz val="10"/>
        <rFont val="Arial"/>
        <family val="2"/>
      </rPr>
      <t xml:space="preserve"> = Risk-of-Job-Creation-Shortfall
</t>
    </r>
    <r>
      <rPr>
        <b/>
        <sz val="12"/>
        <color theme="1"/>
        <rFont val="Arial"/>
        <family val="2"/>
      </rPr>
      <t>Apprenticeships</t>
    </r>
    <r>
      <rPr>
        <sz val="10"/>
        <rFont val="Arial"/>
        <family val="2"/>
      </rPr>
      <t xml:space="preserve"> = Risk-of-Apprentice-Target-Miss
</t>
    </r>
    <r>
      <rPr>
        <b/>
        <sz val="12"/>
        <color theme="1"/>
        <rFont val="Arial"/>
        <family val="2"/>
      </rPr>
      <t>Local</t>
    </r>
    <r>
      <rPr>
        <sz val="10"/>
        <rFont val="Arial"/>
        <family val="2"/>
      </rPr>
      <t xml:space="preserve"> = Risk-of-Local-Procurement-Failure
</t>
    </r>
    <r>
      <rPr>
        <b/>
        <sz val="12"/>
        <color theme="1"/>
        <rFont val="Arial"/>
        <family val="2"/>
      </rPr>
      <t>Community</t>
    </r>
    <r>
      <rPr>
        <sz val="10"/>
        <rFont val="Arial"/>
        <family val="2"/>
      </rPr>
      <t xml:space="preserve"> = Risk-of-S106-Spend-Delays
</t>
    </r>
    <r>
      <rPr>
        <b/>
        <sz val="12"/>
        <color theme="1"/>
        <rFont val="Arial"/>
        <family val="2"/>
      </rPr>
      <t>Skills</t>
    </r>
    <r>
      <rPr>
        <sz val="10"/>
        <rFont val="Arial"/>
        <family val="2"/>
      </rPr>
      <t xml:space="preserve"> = Risk-of-Skills-Program-Delays</t>
    </r>
  </si>
  <si>
    <r>
      <t>Employment</t>
    </r>
    <r>
      <rPr>
        <sz val="10"/>
        <rFont val="Arial"/>
        <family val="2"/>
      </rPr>
      <t xml:space="preserve"> = Job creation targets at risk programme-wide
</t>
    </r>
    <r>
      <rPr>
        <b/>
        <sz val="12"/>
        <color theme="1"/>
        <rFont val="Arial"/>
        <family val="2"/>
      </rPr>
      <t>Apprenticeships</t>
    </r>
    <r>
      <rPr>
        <sz val="10"/>
        <rFont val="Arial"/>
        <family val="2"/>
      </rPr>
      <t xml:space="preserve"> = Apprentice delivery gaps emerging
</t>
    </r>
    <r>
      <rPr>
        <b/>
        <sz val="12"/>
        <color theme="1"/>
        <rFont val="Arial"/>
        <family val="2"/>
      </rPr>
      <t>Local</t>
    </r>
    <r>
      <rPr>
        <sz val="10"/>
        <rFont val="Arial"/>
        <family val="2"/>
      </rPr>
      <t xml:space="preserve"> = Local procurement targets under pressure
</t>
    </r>
    <r>
      <rPr>
        <b/>
        <sz val="12"/>
        <color theme="1"/>
        <rFont val="Arial"/>
        <family val="2"/>
      </rPr>
      <t>Community</t>
    </r>
    <r>
      <rPr>
        <sz val="10"/>
        <rFont val="Arial"/>
        <family val="2"/>
      </rPr>
      <t xml:space="preserve"> = S106 spend coordination challenges
</t>
    </r>
    <r>
      <rPr>
        <b/>
        <sz val="12"/>
        <color theme="1"/>
        <rFont val="Arial"/>
        <family val="2"/>
      </rPr>
      <t>Skills</t>
    </r>
    <r>
      <rPr>
        <sz val="10"/>
        <rFont val="Arial"/>
        <family val="2"/>
      </rPr>
      <t xml:space="preserve"> = Skills program delivery risks</t>
    </r>
  </si>
  <si>
    <r>
      <t>KRI Calculation:</t>
    </r>
    <r>
      <rPr>
        <sz val="10"/>
        <rFont val="Arial"/>
        <family val="2"/>
      </rPr>
      <t xml:space="preserve">(95% + 78% + 80% + 75% + 75%) ÷ 5 = 403 ÷ 5 = </t>
    </r>
    <r>
      <rPr>
        <b/>
        <sz val="12"/>
        <color theme="1"/>
        <rFont val="Arial"/>
        <family val="2"/>
      </rPr>
      <t>81%</t>
    </r>
  </si>
  <si>
    <r>
      <rPr>
        <b/>
        <sz val="10"/>
        <rFont val="Arial"/>
        <family val="2"/>
      </rPr>
      <t xml:space="preserve">Staff: </t>
    </r>
    <r>
      <rPr>
        <sz val="10"/>
        <rFont val="Arial"/>
        <family val="2"/>
      </rPr>
      <t xml:space="preserve">15/50 = 30% vacant = 70% score
</t>
    </r>
    <r>
      <rPr>
        <b/>
        <sz val="10"/>
        <rFont val="Arial"/>
        <family val="2"/>
      </rPr>
      <t xml:space="preserve">Skills: </t>
    </r>
    <r>
      <rPr>
        <sz val="10"/>
        <rFont val="Arial"/>
        <family val="2"/>
      </rPr>
      <t xml:space="preserve">8/54 = 15% affected = 85% score
</t>
    </r>
    <r>
      <rPr>
        <b/>
        <sz val="10"/>
        <rFont val="Arial"/>
        <family val="2"/>
      </rPr>
      <t xml:space="preserve">Personnel: </t>
    </r>
    <r>
      <rPr>
        <sz val="10"/>
        <rFont val="Arial"/>
        <family val="2"/>
      </rPr>
      <t xml:space="preserve">4/12 = 33% at risk = 67% score
</t>
    </r>
    <r>
      <rPr>
        <b/>
        <sz val="10"/>
        <rFont val="Arial"/>
        <family val="2"/>
      </rPr>
      <t>Specialist:</t>
    </r>
    <r>
      <rPr>
        <sz val="10"/>
        <rFont val="Arial"/>
        <family val="2"/>
      </rPr>
      <t xml:space="preserve"> 6 weeks wait = 50% score
Recruitment: 6/10 = 60% failure = 40% score</t>
    </r>
  </si>
  <si>
    <r>
      <rPr>
        <b/>
        <sz val="10"/>
        <rFont val="Arial"/>
        <family val="2"/>
      </rPr>
      <t>Building:</t>
    </r>
    <r>
      <rPr>
        <sz val="10"/>
        <rFont val="Arial"/>
        <family val="2"/>
      </rPr>
      <t xml:space="preserve"> 18/54 = 33% delayed = 67% score
</t>
    </r>
    <r>
      <rPr>
        <b/>
        <sz val="10"/>
        <rFont val="Arial"/>
        <family val="2"/>
      </rPr>
      <t>Fire:</t>
    </r>
    <r>
      <rPr>
        <sz val="10"/>
        <rFont val="Arial"/>
        <family val="2"/>
      </rPr>
      <t xml:space="preserve"> 6/20 = 30% rejected = 70% score
</t>
    </r>
    <r>
      <rPr>
        <b/>
        <sz val="10"/>
        <rFont val="Arial"/>
        <family val="2"/>
      </rPr>
      <t>Safety:</t>
    </r>
    <r>
      <rPr>
        <sz val="10"/>
        <rFont val="Arial"/>
        <family val="2"/>
      </rPr>
      <t xml:space="preserve"> 7/25 = 28% gaps = 72% score
</t>
    </r>
    <r>
      <rPr>
        <b/>
        <sz val="10"/>
        <rFont val="Arial"/>
        <family val="2"/>
      </rPr>
      <t>BSA:</t>
    </r>
    <r>
      <rPr>
        <sz val="10"/>
        <rFont val="Arial"/>
        <family val="2"/>
      </rPr>
      <t xml:space="preserve"> 9/15 = 60% at risk = 40% score
</t>
    </r>
    <r>
      <rPr>
        <b/>
        <sz val="10"/>
        <rFont val="Arial"/>
        <family val="2"/>
      </rPr>
      <t>Regulatory:</t>
    </r>
    <r>
      <rPr>
        <sz val="10"/>
        <rFont val="Arial"/>
        <family val="2"/>
      </rPr>
      <t xml:space="preserve"> 3 breaches = 45% score</t>
    </r>
  </si>
  <si>
    <t>programme goals delivered</t>
  </si>
  <si>
    <t>budget efficiency achieved</t>
  </si>
  <si>
    <t>budget deviation measured</t>
  </si>
  <si>
    <t>budget deviation managed</t>
  </si>
  <si>
    <t>contingency funds preserved</t>
  </si>
  <si>
    <t>cost forecasts accurate</t>
  </si>
  <si>
    <t>schedules projected reliably</t>
  </si>
  <si>
    <t>changes successfully managed</t>
  </si>
  <si>
    <t>critical risks mitigated</t>
  </si>
  <si>
    <t>sustainability conditions met</t>
  </si>
  <si>
    <t>energy targets achieved</t>
  </si>
  <si>
    <t>efficient methods implemented</t>
  </si>
  <si>
    <t>carbon targets delivered</t>
  </si>
  <si>
    <t>environmental issues resolved</t>
  </si>
  <si>
    <t>defects resolved</t>
  </si>
  <si>
    <t>quality standards met</t>
  </si>
  <si>
    <t>digital workflows implemented</t>
  </si>
  <si>
    <t>resident satisfaction achieved</t>
  </si>
  <si>
    <t>stable suppliers retained</t>
  </si>
  <si>
    <t>reports submitted on time</t>
  </si>
  <si>
    <t>contractor targets met</t>
  </si>
  <si>
    <t>critical roles filled</t>
  </si>
  <si>
    <t>disputes resolved effectively</t>
  </si>
  <si>
    <t>building standards met</t>
  </si>
  <si>
    <t>regulatory requirements met</t>
  </si>
  <si>
    <t>planning approvals secured</t>
  </si>
  <si>
    <t>building regulations satisfied</t>
  </si>
  <si>
    <t>safety targets met</t>
  </si>
  <si>
    <t>delivery delays minimized</t>
  </si>
  <si>
    <t>community engagement achieved</t>
  </si>
  <si>
    <t>stakeholder expectations met</t>
  </si>
  <si>
    <t>complaints resolved</t>
  </si>
  <si>
    <t>social value delivered</t>
  </si>
  <si>
    <t>local workforce developed</t>
  </si>
  <si>
    <t>SME contracts awarded</t>
  </si>
  <si>
    <t>benefits delivered</t>
  </si>
  <si>
    <t>strategic alignment maintained</t>
  </si>
  <si>
    <t>scope delivered as approved</t>
  </si>
  <si>
    <t>budget adherence maintained</t>
  </si>
  <si>
    <t>Input A: BC: 67%, 
Input B: Fire: 70%, 
Input C: BSA: 72%, 
Input D: Safety: 40%, 
Input E: Regulatory: 45%</t>
  </si>
  <si>
    <t>Input A: Capacity: 70%, 
Input B: Skills: 85%, 
Input C: Personnel: 67%, 
Input D: Specialists: 50%, 
Input E: Recruitment: 40%</t>
  </si>
  <si>
    <t>Input A: Schedule: 53%, 
Input B: Quality: 47%, 
Input C: Contractors: 33%, 
Input D: Pipeline: 50%, 
Input E: Handover: 70%</t>
  </si>
  <si>
    <t>Input A: Residents: 68%, 
Input B: Community: 60%, 
Input C: Communication: 70%, 
Input D: Political: 78%, 
Input E: Trust: 77%</t>
  </si>
  <si>
    <t>Input A: Corp Plan: 75%, 
Input B: Targets: 75%, 
Input C: Policy: 33%, 
Input D: Estate: 40%, 
Input E: Political: 70%</t>
  </si>
  <si>
    <t>Input A: Employment: 96%, 
Input B: Apprenticeships: 78%, 
Input C: Procurement: 80%, 
Input D: Investment: 75%, 
Input E: Skills: 75%</t>
  </si>
  <si>
    <t>Input A: Design: 80%, 
Input B: Infrastructure: 67%, 
Input C: Data: 25%, 
Input D: Utilities: 67%, 
Input E: Systems: 40%</t>
  </si>
  <si>
    <t>80 %</t>
  </si>
  <si>
    <t>49 %</t>
  </si>
  <si>
    <t>Input A: Actual: £52M, 
Input B: Forecast: £50M</t>
  </si>
  <si>
    <t>Input A: Projects: +5%, +12%, +3%, +8%</t>
  </si>
  <si>
    <t>Input A: Average resolution time: 45 days</t>
  </si>
  <si>
    <t>Input A: On Time: 45, 
Input B: Total: 54, 
Input C: On Budget: 48</t>
  </si>
  <si>
    <t>Input A: Within Budget: 43, 
Input B: Total: 54</t>
  </si>
  <si>
    <t>Input A: Actual: £52M, 
Input B: Budget: £50M</t>
  </si>
  <si>
    <t>Input A: Unused: £17M, 
Input B: Available: £35M</t>
  </si>
  <si>
    <t>Input A: Actual: 18 months, 
Input B: Forecast: 17 months</t>
  </si>
  <si>
    <t>Input A: Change Orders: £22M, 
Input B: Contract: £480M</t>
  </si>
  <si>
    <t>Input A: Mitigated: 46, 
Input B: Total: 50</t>
  </si>
  <si>
    <t>Input A: Discharged: 47, 
Input B: Total: 50</t>
  </si>
  <si>
    <t>Input A: Within 10%: 16, 
Input B: Total: 20</t>
  </si>
  <si>
    <t>Input A: Efficient methods: 11, 
Input B: Total: 20</t>
  </si>
  <si>
    <t>Input A: Met targets: 18, 
Input B: Total: 20</t>
  </si>
  <si>
    <t>Input A: Resolved 48hr: 47, 
Input B: Total: 50</t>
  </si>
  <si>
    <t>Input A: Resolved: 285, 
Input B: Total: 300</t>
  </si>
  <si>
    <t>Input A: First Time: 190, 
Input B: Total: 210</t>
  </si>
  <si>
    <t>Input A: Digital workflows: 14, 
Input B: Total: 20</t>
  </si>
  <si>
    <t>Input A: Satisfied: 78, 
Input B: Total: 100</t>
  </si>
  <si>
    <t>Input A: Stable: 18, 
Input B: Total: 20</t>
  </si>
  <si>
    <t>Input A: On time: 46, 
Input B: Total: 50</t>
  </si>
  <si>
    <t>Input A: Safety: 92%, 
Input B: Quality: 88%, 
Input C: Delivery: 85%, 
Input D: Commercial: 80%</t>
  </si>
  <si>
    <t>Input A: Filled: 28, 
Input B: Total: 30</t>
  </si>
  <si>
    <t>Input A: First time pass: 18, 
Input B: Total: 20</t>
  </si>
  <si>
    <t>Input A: Compliant: 485, 
Input B: Total: 500</t>
  </si>
  <si>
    <t>Input A: Approved: 47, 
Input B: Submitted: 52</t>
  </si>
  <si>
    <t>Input A: First Time: 48, 
Input B: Total: 52</t>
  </si>
  <si>
    <t>Input A: Programme Accident Frequency Rate: 0.4, 
Input B: Industry Benchmark Rate: 0.8</t>
  </si>
  <si>
    <t>Input A: Residents: 82%, 
Input B: GLA: 78%, 
Input C: Contractors: 85%</t>
  </si>
  <si>
    <t>Input A: Resolved: 47, 
Input B: Total: 50</t>
  </si>
  <si>
    <t>Input A: Commitments met: 42, 
Input B: Total: 50</t>
  </si>
  <si>
    <t>Input A: Local: 85, 
Input B: Apprentices: 15, 
Input C: Total: 500</t>
  </si>
  <si>
    <t>Input A: SME: £9M, 
Input B: Total: £40M</t>
  </si>
  <si>
    <t>Input A: Schemes Aligned: 19, 
Input B: Total Schemes: 20</t>
  </si>
  <si>
    <t>Input A: Scope Delivered: 45, 
Input B: Approved Scope: 47</t>
  </si>
  <si>
    <t>Input A: Actual Cost: £26M, 
Input B: BC Approved Budget: £25M</t>
  </si>
  <si>
    <t>Input A: Incorporated: 78,
Input B: Total: 100</t>
  </si>
  <si>
    <t>Input A: Benefits Achieved: £9.0M,
Input B: Benefits Forecast: £10.0M</t>
  </si>
  <si>
    <t>Input A: Weeks avg: 8,  
Input B: Cost/week: £400,
Input C: Units: 50</t>
  </si>
  <si>
    <t>80 % Of budget efficiency achieved</t>
  </si>
  <si>
    <t>49 % Of contingency funds preserved</t>
  </si>
  <si>
    <t>106 % Of schedules projected reliably</t>
  </si>
  <si>
    <t>5 % Of changes successfully managed</t>
  </si>
  <si>
    <t>50 % Of quality standards met</t>
  </si>
  <si>
    <t>140 %</t>
  </si>
  <si>
    <t>140 % Of resident satisfaction achieved</t>
  </si>
  <si>
    <t>95 %</t>
  </si>
  <si>
    <t>Detailed KPI Breakdown - Southwark Construction Programme</t>
  </si>
  <si>
    <t>Strategic KPI</t>
  </si>
  <si>
    <t>KPI Component Definitions</t>
  </si>
  <si>
    <t>Actual KPI Indicators in Programme</t>
  </si>
  <si>
    <t>KPI Score Calculation</t>
  </si>
  <si>
    <t>KPI Final Calculation</t>
  </si>
  <si>
    <t>On Time: 45, On Budget: 48, Total: 54</t>
  </si>
  <si>
    <r>
      <t>On Time</t>
    </r>
    <r>
      <rPr>
        <sz val="10"/>
        <rFont val="Arial"/>
        <family val="2"/>
      </rPr>
      <t xml:space="preserve">: Project completed within agreed milestone dates
</t>
    </r>
    <r>
      <rPr>
        <b/>
        <sz val="12"/>
        <color theme="1"/>
        <rFont val="Arial"/>
        <family val="2"/>
      </rPr>
      <t>On Budget</t>
    </r>
    <r>
      <rPr>
        <sz val="10"/>
        <rFont val="Arial"/>
        <family val="2"/>
      </rPr>
      <t xml:space="preserve">: Project final cost within approved budget +5%
</t>
    </r>
    <r>
      <rPr>
        <b/>
        <sz val="12"/>
        <color theme="1"/>
        <rFont val="Arial"/>
        <family val="2"/>
      </rPr>
      <t>Total Projects</t>
    </r>
    <r>
      <rPr>
        <sz val="10"/>
        <rFont val="Arial"/>
        <family val="2"/>
      </rPr>
      <t>: All active schemes in current reporting period</t>
    </r>
  </si>
  <si>
    <t>Time Performance: 45/54 = 83.33%
Budget Performance: 48/54 = 88.89%</t>
  </si>
  <si>
    <t>(83.33% × 50%) + (88.89% × 50%) = 41.67% + 44.44%</t>
  </si>
  <si>
    <t>86% (Green)</t>
  </si>
  <si>
    <t>Within Budget: 43, Total: 54</t>
  </si>
  <si>
    <r>
      <t>Within Budget</t>
    </r>
    <r>
      <rPr>
        <sz val="10"/>
        <rFont val="Arial"/>
        <family val="2"/>
      </rPr>
      <t xml:space="preserve">: Final project cost ≤ approved budget + 5% tolerance
</t>
    </r>
    <r>
      <rPr>
        <b/>
        <sz val="12"/>
        <color theme="1"/>
        <rFont val="Arial"/>
        <family val="2"/>
      </rPr>
      <t>Approved Budget</t>
    </r>
    <r>
      <rPr>
        <sz val="10"/>
        <rFont val="Arial"/>
        <family val="2"/>
      </rPr>
      <t xml:space="preserve">: Latest cabinet-approved project budget
</t>
    </r>
    <r>
      <rPr>
        <b/>
        <sz val="12"/>
        <color theme="1"/>
        <rFont val="Arial"/>
        <family val="2"/>
      </rPr>
      <t>Total Projects</t>
    </r>
    <r>
      <rPr>
        <sz val="10"/>
        <rFont val="Arial"/>
        <family val="2"/>
      </rPr>
      <t>: All schemes with financial completion in period</t>
    </r>
  </si>
  <si>
    <t>Budget Compliant Projects: 43
Total Completed Projects: 54
Budget Performance Rate: 79.63%</t>
  </si>
  <si>
    <t>43 ÷ 54 × 100%</t>
  </si>
  <si>
    <t>80% (Amber)</t>
  </si>
  <si>
    <t>Projects: +5%, +12%, +3%, +8%</t>
  </si>
  <si>
    <r>
      <t>Actual Spend</t>
    </r>
    <r>
      <rPr>
        <sz val="10"/>
        <rFont val="Arial"/>
        <family val="2"/>
      </rPr>
      <t xml:space="preserve">: Total certified payments to date
</t>
    </r>
    <r>
      <rPr>
        <b/>
        <sz val="12"/>
        <color theme="1"/>
        <rFont val="Arial"/>
        <family val="2"/>
      </rPr>
      <t>Approved Budget</t>
    </r>
    <r>
      <rPr>
        <sz val="10"/>
        <rFont val="Arial"/>
        <family val="2"/>
      </rPr>
      <t xml:space="preserve">: Current approved budget including variations
</t>
    </r>
    <r>
      <rPr>
        <b/>
        <sz val="12"/>
        <color theme="1"/>
        <rFont val="Arial"/>
        <family val="2"/>
      </rPr>
      <t>Variance</t>
    </r>
    <r>
      <rPr>
        <sz val="10"/>
        <rFont val="Arial"/>
        <family val="2"/>
      </rPr>
      <t>: Positive = overspend, Negative = underspend</t>
    </r>
  </si>
  <si>
    <t>Project Variances: 5%, 12%, 3%, 8%
Sum of Variances: 28%
Number of Projects: 4</t>
  </si>
  <si>
    <t>(5% + 12% + 3% + 8%) ÷ 4</t>
  </si>
  <si>
    <t>7% (Green)</t>
  </si>
  <si>
    <t>Actual: £52M, Budget: £50M</t>
  </si>
  <si>
    <r>
      <t>Actual Spend</t>
    </r>
    <r>
      <rPr>
        <sz val="10"/>
        <rFont val="Arial"/>
        <family val="2"/>
      </rPr>
      <t xml:space="preserve">: Total certified payments to date
</t>
    </r>
    <r>
      <rPr>
        <b/>
        <sz val="12"/>
        <color theme="1"/>
        <rFont val="Arial"/>
        <family val="2"/>
      </rPr>
      <t>Approved Budget</t>
    </r>
    <r>
      <rPr>
        <sz val="10"/>
        <rFont val="Arial"/>
        <family val="2"/>
      </rPr>
      <t xml:space="preserve">: Current approved budget including variations
</t>
    </r>
    <r>
      <rPr>
        <b/>
        <sz val="12"/>
        <color theme="1"/>
        <rFont val="Arial"/>
        <family val="2"/>
      </rPr>
      <t>Programme Level</t>
    </r>
    <r>
      <rPr>
        <sz val="10"/>
        <rFont val="Arial"/>
        <family val="2"/>
      </rPr>
      <t>: Aggregate across all schemes</t>
    </r>
  </si>
  <si>
    <t>Programme Actual: £52M
Programme Budget: £50M
Variance: £2M overspend</t>
  </si>
  <si>
    <t>(52 - 50) ÷ 50 × 100%</t>
  </si>
  <si>
    <t>4% (Green)</t>
  </si>
  <si>
    <t>Unused: £17M, Available: £35M</t>
  </si>
  <si>
    <r>
      <t>Unused Contingency</t>
    </r>
    <r>
      <rPr>
        <sz val="10"/>
        <rFont val="Arial"/>
        <family val="2"/>
      </rPr>
      <t xml:space="preserve">: Remaining unallocated contingency funds
</t>
    </r>
    <r>
      <rPr>
        <b/>
        <sz val="12"/>
        <color theme="1"/>
        <rFont val="Arial"/>
        <family val="2"/>
      </rPr>
      <t>Total Available</t>
    </r>
    <r>
      <rPr>
        <sz val="10"/>
        <rFont val="Arial"/>
        <family val="2"/>
      </rPr>
      <t xml:space="preserve">: Original contingency allocation
</t>
    </r>
    <r>
      <rPr>
        <b/>
        <sz val="12"/>
        <color theme="1"/>
        <rFont val="Arial"/>
        <family val="2"/>
      </rPr>
      <t>Management Score</t>
    </r>
    <r>
      <rPr>
        <sz val="10"/>
        <rFont val="Arial"/>
        <family val="2"/>
      </rPr>
      <t>: Higher unused = better financial control</t>
    </r>
  </si>
  <si>
    <t>Total Contingency: £35M
Contingency Used: £18M
Contingency Unused: £17M</t>
  </si>
  <si>
    <t>17 ÷ 35 × 100%</t>
  </si>
  <si>
    <t>49% (Green)</t>
  </si>
  <si>
    <t>Actual: £52M, Forecast: £50M</t>
  </si>
  <si>
    <r>
      <t>Actual Costs</t>
    </r>
    <r>
      <rPr>
        <sz val="10"/>
        <rFont val="Arial"/>
        <family val="2"/>
      </rPr>
      <t xml:space="preserve">: Certified payments at reporting date
</t>
    </r>
    <r>
      <rPr>
        <b/>
        <sz val="12"/>
        <color theme="1"/>
        <rFont val="Arial"/>
        <family val="2"/>
      </rPr>
      <t>Forecasted Costs</t>
    </r>
    <r>
      <rPr>
        <sz val="10"/>
        <rFont val="Arial"/>
        <family val="2"/>
      </rPr>
      <t xml:space="preserve">: Cost forecast from previous reporting period
</t>
    </r>
    <r>
      <rPr>
        <b/>
        <sz val="12"/>
        <color theme="1"/>
        <rFont val="Arial"/>
        <family val="2"/>
      </rPr>
      <t>Accuracy Range</t>
    </r>
    <r>
      <rPr>
        <sz val="10"/>
        <rFont val="Arial"/>
        <family val="2"/>
      </rPr>
      <t>: 95-105% = accurate</t>
    </r>
  </si>
  <si>
    <t>Current Actual Cost: £52M
Previous Period Forecast: £50M
Accuracy Ratio: 104%</t>
  </si>
  <si>
    <t>52 ÷ 50 × 100%</t>
  </si>
  <si>
    <t>104% (Green)</t>
  </si>
  <si>
    <t>Actual: 18 months, Forecast: 17 months</t>
  </si>
  <si>
    <r>
      <t>Actual Completion</t>
    </r>
    <r>
      <rPr>
        <sz val="10"/>
        <rFont val="Arial"/>
        <family val="2"/>
      </rPr>
      <t xml:space="preserve">: Actual project duration to practical completion
</t>
    </r>
    <r>
      <rPr>
        <b/>
        <sz val="12"/>
        <color theme="1"/>
        <rFont val="Arial"/>
        <family val="2"/>
      </rPr>
      <t>Forecasted Completion</t>
    </r>
    <r>
      <rPr>
        <sz val="10"/>
        <rFont val="Arial"/>
        <family val="2"/>
      </rPr>
      <t xml:space="preserve">: Duration forecast from previous period
</t>
    </r>
    <r>
      <rPr>
        <b/>
        <sz val="12"/>
        <color theme="1"/>
        <rFont val="Arial"/>
        <family val="2"/>
      </rPr>
      <t>Reliability Range</t>
    </r>
    <r>
      <rPr>
        <sz val="10"/>
        <rFont val="Arial"/>
        <family val="2"/>
      </rPr>
      <t>: 95-105% = reliable</t>
    </r>
  </si>
  <si>
    <t>Actual Duration: 18 months
Forecast Duration: 17 months
Reliability Ratio: 106%</t>
  </si>
  <si>
    <t>18 ÷ 17 × 100%</t>
  </si>
  <si>
    <t>106% (Amber)</t>
  </si>
  <si>
    <t>Change Orders: £22M, Contract: £480M</t>
  </si>
  <si>
    <r>
      <t>Change Order Costs</t>
    </r>
    <r>
      <rPr>
        <sz val="10"/>
        <rFont val="Arial"/>
        <family val="2"/>
      </rPr>
      <t xml:space="preserve">: Approved variations to original contract
</t>
    </r>
    <r>
      <rPr>
        <b/>
        <sz val="12"/>
        <color theme="1"/>
        <rFont val="Arial"/>
        <family val="2"/>
      </rPr>
      <t>Original Contract Value</t>
    </r>
    <r>
      <rPr>
        <sz val="10"/>
        <rFont val="Arial"/>
        <family val="2"/>
      </rPr>
      <t xml:space="preserve">: Initial contract sum
</t>
    </r>
    <r>
      <rPr>
        <b/>
        <sz val="12"/>
        <color theme="1"/>
        <rFont val="Arial"/>
        <family val="2"/>
      </rPr>
      <t>Impact Threshold</t>
    </r>
    <r>
      <rPr>
        <sz val="10"/>
        <rFont val="Arial"/>
        <family val="2"/>
      </rPr>
      <t>: &lt;5% = well controlled</t>
    </r>
  </si>
  <si>
    <t>Total Change Orders: £22M
Original Contract Value: £480M
Change Impact: 4.58%</t>
  </si>
  <si>
    <t>22 ÷ 480 × 100%</t>
  </si>
  <si>
    <t>4.6% (Green)</t>
  </si>
  <si>
    <t>Mitigated: 46, Total: 50</t>
  </si>
  <si>
    <r>
      <t>Active Mitigation</t>
    </r>
    <r>
      <rPr>
        <sz val="10"/>
        <rFont val="Arial"/>
        <family val="2"/>
      </rPr>
      <t xml:space="preserve">: High/critical risks with approved mitigation plans
</t>
    </r>
    <r>
      <rPr>
        <b/>
        <sz val="12"/>
        <color theme="1"/>
        <rFont val="Arial"/>
        <family val="2"/>
      </rPr>
      <t>Total High/Critical</t>
    </r>
    <r>
      <rPr>
        <sz val="10"/>
        <rFont val="Arial"/>
        <family val="2"/>
      </rPr>
      <t xml:space="preserve">: All risks rated high or critical in risk register
</t>
    </r>
    <r>
      <rPr>
        <b/>
        <sz val="12"/>
        <color theme="1"/>
        <rFont val="Arial"/>
        <family val="2"/>
      </rPr>
      <t>Effectiveness</t>
    </r>
    <r>
      <rPr>
        <sz val="10"/>
        <rFont val="Arial"/>
        <family val="2"/>
      </rPr>
      <t>: &gt;95% = excellent control</t>
    </r>
  </si>
  <si>
    <t>High/Critical Risks: 50
Risks with Mitigation: 46
Risks without Mitigation: 4</t>
  </si>
  <si>
    <t>46 ÷ 50 × 100%</t>
  </si>
  <si>
    <t>92% (Amber)</t>
  </si>
  <si>
    <t>Discharged: 47, Total: 50</t>
  </si>
  <si>
    <r>
      <t>Successfully Discharged</t>
    </r>
    <r>
      <rPr>
        <sz val="10"/>
        <rFont val="Arial"/>
        <family val="2"/>
      </rPr>
      <t xml:space="preserve">: Planning conditions fully satisfied
</t>
    </r>
    <r>
      <rPr>
        <b/>
        <sz val="12"/>
        <color theme="1"/>
        <rFont val="Arial"/>
        <family val="2"/>
      </rPr>
      <t>Total Conditions</t>
    </r>
    <r>
      <rPr>
        <sz val="10"/>
        <rFont val="Arial"/>
        <family val="2"/>
      </rPr>
      <t xml:space="preserve">: All sustainability-related planning conditions
</t>
    </r>
    <r>
      <rPr>
        <b/>
        <sz val="12"/>
        <color theme="1"/>
        <rFont val="Arial"/>
        <family val="2"/>
      </rPr>
      <t>Compliance</t>
    </r>
    <r>
      <rPr>
        <sz val="10"/>
        <rFont val="Arial"/>
        <family val="2"/>
      </rPr>
      <t>: Approved by planning authority</t>
    </r>
  </si>
  <si>
    <t>Sustainability Conditions: 50
Conditions Discharged: 47
Outstanding Conditions: 3</t>
  </si>
  <si>
    <t>47 ÷ 50 × 100%</t>
  </si>
  <si>
    <t>94% (Amber)</t>
  </si>
  <si>
    <t>KPI_62</t>
  </si>
  <si>
    <t>Construction Waste Diversion Rate</t>
  </si>
  <si>
    <t>(Total Waste Diverted from Landfill ÷ Total Waste Generated) × 100%</t>
  </si>
  <si>
    <t>Diverted: 425t, Total: 500t</t>
  </si>
  <si>
    <r>
      <t>Waste Diverted</t>
    </r>
    <r>
      <rPr>
        <sz val="10"/>
        <rFont val="Arial"/>
        <family val="2"/>
      </rPr>
      <t xml:space="preserve">: Total waste recycled, reused, or recovered
</t>
    </r>
    <r>
      <rPr>
        <b/>
        <sz val="12"/>
        <color theme="1"/>
        <rFont val="Arial"/>
        <family val="2"/>
      </rPr>
      <t>Total Generated</t>
    </r>
    <r>
      <rPr>
        <sz val="10"/>
        <rFont val="Arial"/>
        <family val="2"/>
      </rPr>
      <t xml:space="preserve">: All construction waste produced
</t>
    </r>
    <r>
      <rPr>
        <b/>
        <sz val="12"/>
        <color theme="1"/>
        <rFont val="Arial"/>
        <family val="2"/>
      </rPr>
      <t>Diversion</t>
    </r>
    <r>
      <rPr>
        <sz val="10"/>
        <rFont val="Arial"/>
        <family val="2"/>
      </rPr>
      <t>: Waste not sent to landfill</t>
    </r>
  </si>
  <si>
    <t>Total Waste Generated: 500 tonnes
Waste to Landfill: 75 tonnes
Waste Diverted: 425 tonnes</t>
  </si>
  <si>
    <t>425 ÷ 500 × 100%</t>
  </si>
  <si>
    <t>85% (Green)</t>
  </si>
  <si>
    <t>Within 10%: 16, Total: 20</t>
  </si>
  <si>
    <r>
      <t>Within 10%</t>
    </r>
    <r>
      <rPr>
        <sz val="10"/>
        <rFont val="Arial"/>
        <family val="2"/>
      </rPr>
      <t xml:space="preserve">: Actual EPC within 10% of design SAP rating
</t>
    </r>
    <r>
      <rPr>
        <b/>
        <sz val="12"/>
        <color theme="1"/>
        <rFont val="Arial"/>
        <family val="2"/>
      </rPr>
      <t>Total Completed</t>
    </r>
    <r>
      <rPr>
        <sz val="10"/>
        <rFont val="Arial"/>
        <family val="2"/>
      </rPr>
      <t xml:space="preserve">: Projects with both design and actual EPC
</t>
    </r>
    <r>
      <rPr>
        <b/>
        <sz val="12"/>
        <color theme="1"/>
        <rFont val="Arial"/>
        <family val="2"/>
      </rPr>
      <t>Performance Gap</t>
    </r>
    <r>
      <rPr>
        <sz val="10"/>
        <rFont val="Arial"/>
        <family val="2"/>
      </rPr>
      <t>: Difference between design and actual</t>
    </r>
  </si>
  <si>
    <t>Completed Projects: 20
Projects Within 10%: 16
Projects Outside 10%: 4</t>
  </si>
  <si>
    <t>16 ÷ 20 × 100%</t>
  </si>
  <si>
    <t>80% (Green)</t>
  </si>
  <si>
    <t>KPI_88</t>
  </si>
  <si>
    <t>Sustainable Materials Usage</t>
  </si>
  <si>
    <t>(Projects Using ≥2 Sustainable Material Categories ÷ Total Projects) × 100%</t>
  </si>
  <si>
    <t>Compliant: 15, Total: 20</t>
  </si>
  <si>
    <r>
      <t>Sustainable Categories</t>
    </r>
    <r>
      <rPr>
        <sz val="10"/>
        <rFont val="Arial"/>
        <family val="2"/>
      </rPr>
      <t xml:space="preserve">: Recycled content, FSC timber, low-carbon concrete, reclaimed materials
</t>
    </r>
    <r>
      <rPr>
        <b/>
        <sz val="12"/>
        <color theme="1"/>
        <rFont val="Arial"/>
        <family val="2"/>
      </rPr>
      <t>≥2 Categories</t>
    </r>
    <r>
      <rPr>
        <sz val="10"/>
        <rFont val="Arial"/>
        <family val="2"/>
      </rPr>
      <t xml:space="preserve">: Project must use at least two categories
</t>
    </r>
    <r>
      <rPr>
        <b/>
        <sz val="12"/>
        <color theme="1"/>
        <rFont val="Arial"/>
        <family val="2"/>
      </rPr>
      <t>Total Projects</t>
    </r>
    <r>
      <rPr>
        <sz val="10"/>
        <rFont val="Arial"/>
        <family val="2"/>
      </rPr>
      <t>: All projects in assessment period</t>
    </r>
  </si>
  <si>
    <t>Total Projects: 20
Projects Using ≥2 Categories: 15
Projects Using &lt;2 Categories: 5</t>
  </si>
  <si>
    <t>15 ÷ 20 × 100%</t>
  </si>
  <si>
    <t>75% (Green)</t>
  </si>
  <si>
    <t>Efficient methods: 11, Total: 20</t>
  </si>
  <si>
    <r>
      <t>Efficient Methods</t>
    </r>
    <r>
      <rPr>
        <sz val="10"/>
        <rFont val="Arial"/>
        <family val="2"/>
      </rPr>
      <t xml:space="preserve">: Prefab elements, standardized designs, bulk procurement
</t>
    </r>
    <r>
      <rPr>
        <b/>
        <sz val="12"/>
        <color theme="1"/>
        <rFont val="Arial"/>
        <family val="2"/>
      </rPr>
      <t>Using Methods</t>
    </r>
    <r>
      <rPr>
        <sz val="10"/>
        <rFont val="Arial"/>
        <family val="2"/>
      </rPr>
      <t xml:space="preserve">: Project employs one or more efficient methods
</t>
    </r>
    <r>
      <rPr>
        <b/>
        <sz val="12"/>
        <color theme="1"/>
        <rFont val="Arial"/>
        <family val="2"/>
      </rPr>
      <t>Efficiency</t>
    </r>
    <r>
      <rPr>
        <sz val="10"/>
        <rFont val="Arial"/>
        <family val="2"/>
      </rPr>
      <t>: Methods that improve speed/quality</t>
    </r>
  </si>
  <si>
    <t>Total Projects: 20
Projects Using Efficient Methods: 11
Traditional Methods Only: 9</t>
  </si>
  <si>
    <t>11 ÷ 20 × 100%</t>
  </si>
  <si>
    <t>55% (Amber)</t>
  </si>
  <si>
    <t>Met targets: 18, Total: 20</t>
  </si>
  <si>
    <r>
      <t>Meeting Targets</t>
    </r>
    <r>
      <rPr>
        <sz val="10"/>
        <rFont val="Arial"/>
        <family val="2"/>
      </rPr>
      <t xml:space="preserve">: Achieving specified carbon reduction vs baseline
</t>
    </r>
    <r>
      <rPr>
        <b/>
        <sz val="12"/>
        <color theme="1"/>
        <rFont val="Arial"/>
        <family val="2"/>
      </rPr>
      <t>Applicable Projects</t>
    </r>
    <r>
      <rPr>
        <sz val="10"/>
        <rFont val="Arial"/>
        <family val="2"/>
      </rPr>
      <t xml:space="preserve">: New builds &gt;10 units, major refurbs &gt;£2M
</t>
    </r>
    <r>
      <rPr>
        <b/>
        <sz val="12"/>
        <color theme="1"/>
        <rFont val="Arial"/>
        <family val="2"/>
      </rPr>
      <t>Carbon Targets</t>
    </r>
    <r>
      <rPr>
        <sz val="10"/>
        <rFont val="Arial"/>
        <family val="2"/>
      </rPr>
      <t>: As specified in planning conditions or policy</t>
    </r>
  </si>
  <si>
    <t>Applicable Projects: 20
Projects Meeting Targets: 18
Projects Not Meeting Targets: 2</t>
  </si>
  <si>
    <t>18 ÷ 20 × 100%</t>
  </si>
  <si>
    <t>90% (Green)</t>
  </si>
  <si>
    <t>Resolved 48hr: 47, Total: 50</t>
  </si>
  <si>
    <r>
      <t>Resolved Within 48hr</t>
    </r>
    <r>
      <rPr>
        <sz val="10"/>
        <rFont val="Arial"/>
        <family val="2"/>
      </rPr>
      <t xml:space="preserve">: Incident closed within 2 working days
</t>
    </r>
    <r>
      <rPr>
        <b/>
        <sz val="12"/>
        <color theme="1"/>
        <rFont val="Arial"/>
        <family val="2"/>
      </rPr>
      <t>Environmental Incidents</t>
    </r>
    <r>
      <rPr>
        <sz val="10"/>
        <rFont val="Arial"/>
        <family val="2"/>
      </rPr>
      <t xml:space="preserve">: Dust, noise, contamination complaints
</t>
    </r>
    <r>
      <rPr>
        <b/>
        <sz val="12"/>
        <color theme="1"/>
        <rFont val="Arial"/>
        <family val="2"/>
      </rPr>
      <t>Total Incidents</t>
    </r>
    <r>
      <rPr>
        <sz val="10"/>
        <rFont val="Arial"/>
        <family val="2"/>
      </rPr>
      <t>: All environmental incidents reported</t>
    </r>
  </si>
  <si>
    <t>Total Incidents: 50
Resolved Within 48hr: 47
Resolved After 48hr: 3</t>
  </si>
  <si>
    <t>Resolved: 285, Total: 300</t>
  </si>
  <si>
    <r>
      <t>Resolved Within SLA</t>
    </r>
    <r>
      <rPr>
        <sz val="10"/>
        <rFont val="Arial"/>
        <family val="2"/>
      </rPr>
      <t xml:space="preserve">: Defects fixed within service level agreement timeframe
</t>
    </r>
    <r>
      <rPr>
        <b/>
        <sz val="12"/>
        <color theme="1"/>
        <rFont val="Arial"/>
        <family val="2"/>
      </rPr>
      <t>Total Defects</t>
    </r>
    <r>
      <rPr>
        <sz val="10"/>
        <rFont val="Arial"/>
        <family val="2"/>
      </rPr>
      <t xml:space="preserve">: All defects reported during defects liability period
</t>
    </r>
    <r>
      <rPr>
        <b/>
        <sz val="12"/>
        <color theme="1"/>
        <rFont val="Arial"/>
        <family val="2"/>
      </rPr>
      <t>SLA</t>
    </r>
    <r>
      <rPr>
        <sz val="10"/>
        <rFont val="Arial"/>
        <family val="2"/>
      </rPr>
      <t>: Typically 14 days for minor, 48 hours for major</t>
    </r>
  </si>
  <si>
    <t>Total Defects Reported: 300
Defects Resolved Within SLA: 285
Defects Overdue: 15</t>
  </si>
  <si>
    <t>285 ÷ 300 × 100%</t>
  </si>
  <si>
    <t>95% (Green)</t>
  </si>
  <si>
    <t>First Time: 190, Total: 210</t>
  </si>
  <si>
    <r>
      <t>Passed First Time</t>
    </r>
    <r>
      <rPr>
        <sz val="10"/>
        <rFont val="Arial"/>
        <family val="2"/>
      </rPr>
      <t xml:space="preserve">: Inspection passed without requiring remedial work
</t>
    </r>
    <r>
      <rPr>
        <b/>
        <sz val="12"/>
        <color theme="1"/>
        <rFont val="Arial"/>
        <family val="2"/>
      </rPr>
      <t>Total Inspections</t>
    </r>
    <r>
      <rPr>
        <sz val="10"/>
        <rFont val="Arial"/>
        <family val="2"/>
      </rPr>
      <t xml:space="preserve">: All formal quality inspections conducted
</t>
    </r>
    <r>
      <rPr>
        <b/>
        <sz val="12"/>
        <color theme="1"/>
        <rFont val="Arial"/>
        <family val="2"/>
      </rPr>
      <t>Quality Standards</t>
    </r>
    <r>
      <rPr>
        <sz val="10"/>
        <rFont val="Arial"/>
        <family val="2"/>
      </rPr>
      <t>: As per specification and building regulations</t>
    </r>
  </si>
  <si>
    <t>Total Inspections: 210
First Time Pass: 190
Failed/Rework Required: 20</t>
  </si>
  <si>
    <t>190 ÷ 210 × 100%</t>
  </si>
  <si>
    <t>Digital workflows: 14, Total: 20</t>
  </si>
  <si>
    <r>
      <t>Digital Workflows</t>
    </r>
    <r>
      <rPr>
        <sz val="10"/>
        <rFont val="Arial"/>
        <family val="2"/>
      </rPr>
      <t xml:space="preserve">: BIM Level 2, digital planning submissions, digital handovers
</t>
    </r>
    <r>
      <rPr>
        <b/>
        <sz val="12"/>
        <color theme="1"/>
        <rFont val="Arial"/>
        <family val="2"/>
      </rPr>
      <t>Using Workflows</t>
    </r>
    <r>
      <rPr>
        <sz val="10"/>
        <rFont val="Arial"/>
        <family val="2"/>
      </rPr>
      <t xml:space="preserve">: Project employs specified digital processes
</t>
    </r>
    <r>
      <rPr>
        <b/>
        <sz val="12"/>
        <color theme="1"/>
        <rFont val="Arial"/>
        <family val="2"/>
      </rPr>
      <t>Adoption</t>
    </r>
    <r>
      <rPr>
        <sz val="10"/>
        <rFont val="Arial"/>
        <family val="2"/>
      </rPr>
      <t>: Implementation of digital construction methods</t>
    </r>
  </si>
  <si>
    <t>Total Projects: 20
Projects Using Digital Workflows: 14
Traditional Processes Only: 6</t>
  </si>
  <si>
    <t>14 ÷ 20 × 100%</t>
  </si>
  <si>
    <t>70% (Green)</t>
  </si>
  <si>
    <t>Satisfied: 78, Total: 100</t>
  </si>
  <si>
    <r>
      <t>Satisfied Residents</t>
    </r>
    <r>
      <rPr>
        <sz val="10"/>
        <rFont val="Arial"/>
        <family val="2"/>
      </rPr>
      <t xml:space="preserve">: Rating ≥7 out of 10 on satisfaction survey
</t>
    </r>
    <r>
      <rPr>
        <b/>
        <sz val="12"/>
        <color theme="1"/>
        <rFont val="Arial"/>
        <family val="2"/>
      </rPr>
      <t>Survey Respondents</t>
    </r>
    <r>
      <rPr>
        <sz val="10"/>
        <rFont val="Arial"/>
        <family val="2"/>
      </rPr>
      <t xml:space="preserve">: Residents completing 12-month post-occupancy survey
</t>
    </r>
    <r>
      <rPr>
        <b/>
        <sz val="12"/>
        <color theme="1"/>
        <rFont val="Arial"/>
        <family val="2"/>
      </rPr>
      <t>Satisfaction</t>
    </r>
    <r>
      <rPr>
        <sz val="10"/>
        <rFont val="Arial"/>
        <family val="2"/>
      </rPr>
      <t>: Overall satisfaction with completed home</t>
    </r>
  </si>
  <si>
    <t>Survey Respondents: 100
Satisfied (≥7/10): 78
Dissatisfied (&lt;7/10): 22</t>
  </si>
  <si>
    <t>78 ÷ 100 × 100%</t>
  </si>
  <si>
    <t>78% (Amber)</t>
  </si>
  <si>
    <t>KPI_32</t>
  </si>
  <si>
    <t>Compliance Breach Resolution</t>
  </si>
  <si>
    <t>Average Days to Resolve Compliance Breaches</t>
  </si>
  <si>
    <t>Resolution times: 20, 25, 30, 25 days</t>
  </si>
  <si>
    <r>
      <t>Compliance Breaches</t>
    </r>
    <r>
      <rPr>
        <sz val="10"/>
        <rFont val="Arial"/>
        <family val="2"/>
      </rPr>
      <t xml:space="preserve">: Violations of governance, regulatory, or contractual requirements
</t>
    </r>
    <r>
      <rPr>
        <b/>
        <sz val="12"/>
        <color theme="1"/>
        <rFont val="Arial"/>
        <family val="2"/>
      </rPr>
      <t>Resolution</t>
    </r>
    <r>
      <rPr>
        <sz val="10"/>
        <rFont val="Arial"/>
        <family val="2"/>
      </rPr>
      <t xml:space="preserve">: Breach formally closed with corrective action
</t>
    </r>
    <r>
      <rPr>
        <b/>
        <sz val="12"/>
        <color theme="1"/>
        <rFont val="Arial"/>
        <family val="2"/>
      </rPr>
      <t>Average Days</t>
    </r>
    <r>
      <rPr>
        <sz val="10"/>
        <rFont val="Arial"/>
        <family val="2"/>
      </rPr>
      <t>: Mean time from breach identification to resolution</t>
    </r>
  </si>
  <si>
    <t>Breach Resolution Times: 20, 25, 30, 25 days
Total Days: 100
Number of Breaches: 4</t>
  </si>
  <si>
    <t>(20+25+30+25) ÷ 4</t>
  </si>
  <si>
    <t>25 days</t>
  </si>
  <si>
    <t>25 days (Green)</t>
  </si>
  <si>
    <t>Stable: 18, Total: 20</t>
  </si>
  <si>
    <r>
      <t>Financially Stable</t>
    </r>
    <r>
      <rPr>
        <sz val="10"/>
        <rFont val="Arial"/>
        <family val="2"/>
      </rPr>
      <t xml:space="preserve">: Suppliers meeting financial health criteria
</t>
    </r>
    <r>
      <rPr>
        <b/>
        <sz val="12"/>
        <color theme="1"/>
        <rFont val="Arial"/>
        <family val="2"/>
      </rPr>
      <t>Key Suppliers</t>
    </r>
    <r>
      <rPr>
        <sz val="10"/>
        <rFont val="Arial"/>
        <family val="2"/>
      </rPr>
      <t xml:space="preserve">: Suppliers with contracts &gt;£500K or critical services
</t>
    </r>
    <r>
      <rPr>
        <b/>
        <sz val="12"/>
        <color theme="1"/>
        <rFont val="Arial"/>
        <family val="2"/>
      </rPr>
      <t>Stability Criteria</t>
    </r>
    <r>
      <rPr>
        <sz val="10"/>
        <rFont val="Arial"/>
        <family val="2"/>
      </rPr>
      <t>: Credit rating, financial ratios, payment history</t>
    </r>
  </si>
  <si>
    <t>Total Key Suppliers: 20
Financially Stable: 18
At Risk Suppliers: 2</t>
  </si>
  <si>
    <t>KPI_92</t>
  </si>
  <si>
    <t>Audit Findings Closure Rate</t>
  </si>
  <si>
    <t>(Audit Findings Closed Within Deadline ÷ Total Audit Findings) × 100%</t>
  </si>
  <si>
    <t>Closed: 18, Total: 20</t>
  </si>
  <si>
    <r>
      <t>Closed Within Deadline</t>
    </r>
    <r>
      <rPr>
        <sz val="10"/>
        <rFont val="Arial"/>
        <family val="2"/>
      </rPr>
      <t xml:space="preserve">: Findings resolved by agreed target date
</t>
    </r>
    <r>
      <rPr>
        <b/>
        <sz val="12"/>
        <color theme="1"/>
        <rFont val="Arial"/>
        <family val="2"/>
      </rPr>
      <t>Total Findings</t>
    </r>
    <r>
      <rPr>
        <sz val="10"/>
        <rFont val="Arial"/>
        <family val="2"/>
      </rPr>
      <t xml:space="preserve">: All audit recommendations requiring action
</t>
    </r>
    <r>
      <rPr>
        <b/>
        <sz val="12"/>
        <color theme="1"/>
        <rFont val="Arial"/>
        <family val="2"/>
      </rPr>
      <t>Closure</t>
    </r>
    <r>
      <rPr>
        <sz val="10"/>
        <rFont val="Arial"/>
        <family val="2"/>
      </rPr>
      <t>: Management action completed and verified</t>
    </r>
  </si>
  <si>
    <t>Total Audit Findings: 20
Closed Within Deadline: 18
Overdue Findings: 2</t>
  </si>
  <si>
    <t>90% (Amber)</t>
  </si>
  <si>
    <t>On time: 46, Total: 50</t>
  </si>
  <si>
    <r>
      <t>On Time</t>
    </r>
    <r>
      <rPr>
        <sz val="10"/>
        <rFont val="Arial"/>
        <family val="2"/>
      </rPr>
      <t xml:space="preserve">: Reports submitted by statutory or internal deadline
</t>
    </r>
    <r>
      <rPr>
        <b/>
        <sz val="12"/>
        <color theme="1"/>
        <rFont val="Arial"/>
        <family val="2"/>
      </rPr>
      <t>Total Due</t>
    </r>
    <r>
      <rPr>
        <sz val="10"/>
        <rFont val="Arial"/>
        <family val="2"/>
      </rPr>
      <t xml:space="preserve">: All scheduled reports (Cabinet, GLA, monthly returns)
</t>
    </r>
    <r>
      <rPr>
        <b/>
        <sz val="12"/>
        <color theme="1"/>
        <rFont val="Arial"/>
        <family val="2"/>
      </rPr>
      <t>Timeliness</t>
    </r>
    <r>
      <rPr>
        <sz val="10"/>
        <rFont val="Arial"/>
        <family val="2"/>
      </rPr>
      <t>: Compliance with reporting calendar</t>
    </r>
  </si>
  <si>
    <t>Reports Due: 50
Submitted On Time: 46
Late Submissions: 4</t>
  </si>
  <si>
    <t>Safety: 92%, Quality: 88%, Delivery: 85%, Commercial: 80%</t>
  </si>
  <si>
    <r>
      <t>Safety Score</t>
    </r>
    <r>
      <rPr>
        <sz val="10"/>
        <rFont val="Arial"/>
        <family val="2"/>
      </rPr>
      <t xml:space="preserve">: H&amp;S performance including incidents, training, compliance
</t>
    </r>
    <r>
      <rPr>
        <b/>
        <sz val="12"/>
        <color theme="1"/>
        <rFont val="Arial"/>
        <family val="2"/>
      </rPr>
      <t>Quality Score</t>
    </r>
    <r>
      <rPr>
        <sz val="10"/>
        <rFont val="Arial"/>
        <family val="2"/>
      </rPr>
      <t xml:space="preserve">: Defects, rework, standards compliance
</t>
    </r>
    <r>
      <rPr>
        <b/>
        <sz val="12"/>
        <color theme="1"/>
        <rFont val="Arial"/>
        <family val="2"/>
      </rPr>
      <t>Delivery Score</t>
    </r>
    <r>
      <rPr>
        <sz val="10"/>
        <rFont val="Arial"/>
        <family val="2"/>
      </rPr>
      <t xml:space="preserve">: Time, milestones, program adherence
</t>
    </r>
    <r>
      <rPr>
        <b/>
        <sz val="12"/>
        <color theme="1"/>
        <rFont val="Arial"/>
        <family val="2"/>
      </rPr>
      <t>Commercial</t>
    </r>
    <r>
      <rPr>
        <sz val="10"/>
        <rFont val="Arial"/>
        <family val="2"/>
      </rPr>
      <t>: Cost control, change management, claims</t>
    </r>
  </si>
  <si>
    <t>Safety Performance: 92%
Quality Performance: 88%
Delivery Performance: 85%
Commercial Performance: 80%</t>
  </si>
  <si>
    <t>(92×40%) + (88×30%) + (85×20%) + (80×10%) = 36.8 + 26.4 + 17 + 8</t>
  </si>
  <si>
    <t>88% (Amber)</t>
  </si>
  <si>
    <t>Filled: 28, Total: 30</t>
  </si>
  <si>
    <r>
      <t>Critical Roles</t>
    </r>
    <r>
      <rPr>
        <sz val="10"/>
        <rFont val="Arial"/>
        <family val="2"/>
      </rPr>
      <t xml:space="preserve">: Key positions essential for programme delivery
</t>
    </r>
    <r>
      <rPr>
        <b/>
        <sz val="12"/>
        <color theme="1"/>
        <rFont val="Arial"/>
        <family val="2"/>
      </rPr>
      <t>Filled</t>
    </r>
    <r>
      <rPr>
        <sz val="10"/>
        <rFont val="Arial"/>
        <family val="2"/>
      </rPr>
      <t xml:space="preserve">: Positions occupied by competent permanent or interim staff
</t>
    </r>
    <r>
      <rPr>
        <b/>
        <sz val="12"/>
        <color theme="1"/>
        <rFont val="Arial"/>
        <family val="2"/>
      </rPr>
      <t>Fill Rate</t>
    </r>
    <r>
      <rPr>
        <sz val="10"/>
        <rFont val="Arial"/>
        <family val="2"/>
      </rPr>
      <t>: Percentage of critical positions occupied</t>
    </r>
  </si>
  <si>
    <t>Total Critical Roles: 30
Roles Currently Filled: 28
Vacant Critical Roles: 2</t>
  </si>
  <si>
    <t>28 ÷ 30 × 100%</t>
  </si>
  <si>
    <t>93% (Amber)</t>
  </si>
  <si>
    <t>Resolution times: 30, 45, 50, 55 days</t>
  </si>
  <si>
    <r>
      <t>Contract Disputes</t>
    </r>
    <r>
      <rPr>
        <sz val="10"/>
        <rFont val="Arial"/>
        <family val="2"/>
      </rPr>
      <t xml:space="preserve">: Formal disputes requiring resolution process
</t>
    </r>
    <r>
      <rPr>
        <b/>
        <sz val="12"/>
        <color theme="1"/>
        <rFont val="Arial"/>
        <family val="2"/>
      </rPr>
      <t>Resolution</t>
    </r>
    <r>
      <rPr>
        <sz val="10"/>
        <rFont val="Arial"/>
        <family val="2"/>
      </rPr>
      <t xml:space="preserve">: Dispute formally closed through agreement or adjudication
</t>
    </r>
    <r>
      <rPr>
        <b/>
        <sz val="12"/>
        <color theme="1"/>
        <rFont val="Arial"/>
        <family val="2"/>
      </rPr>
      <t>Average Days</t>
    </r>
    <r>
      <rPr>
        <sz val="10"/>
        <rFont val="Arial"/>
        <family val="2"/>
      </rPr>
      <t>: Mean time from dispute notification to closure</t>
    </r>
  </si>
  <si>
    <t>Dispute Resolution Times: 30, 45, 50, 55 days
Total Days: 180
Number of Disputes: 4</t>
  </si>
  <si>
    <t>(30+45+50+55) ÷ 4</t>
  </si>
  <si>
    <t>45 days (Green)</t>
  </si>
  <si>
    <t>First time pass: 18, Total: 20</t>
  </si>
  <si>
    <r>
      <t>Meeting Standards</t>
    </r>
    <r>
      <rPr>
        <sz val="10"/>
        <rFont val="Arial"/>
        <family val="2"/>
      </rPr>
      <t xml:space="preserve">: All building regs, fire safety, accessibility standards
</t>
    </r>
    <r>
      <rPr>
        <b/>
        <sz val="12"/>
        <color theme="1"/>
        <rFont val="Arial"/>
        <family val="2"/>
      </rPr>
      <t>First Time</t>
    </r>
    <r>
      <rPr>
        <sz val="10"/>
        <rFont val="Arial"/>
        <family val="2"/>
      </rPr>
      <t xml:space="preserve">: No remedial work required after inspection
</t>
    </r>
    <r>
      <rPr>
        <b/>
        <sz val="12"/>
        <color theme="1"/>
        <rFont val="Arial"/>
        <family val="2"/>
      </rPr>
      <t>Compliance</t>
    </r>
    <r>
      <rPr>
        <sz val="10"/>
        <rFont val="Arial"/>
        <family val="2"/>
      </rPr>
      <t>: Full approval without conditions</t>
    </r>
  </si>
  <si>
    <t>Total Projects Inspected: 20
First Time Compliance: 18
Required Remedial Work: 2</t>
  </si>
  <si>
    <t>Compliant: 485, Total: 500</t>
  </si>
  <si>
    <r>
      <t>Compliant Activities</t>
    </r>
    <r>
      <rPr>
        <sz val="10"/>
        <rFont val="Arial"/>
        <family val="2"/>
      </rPr>
      <t xml:space="preserve">: Activities meeting all regulatory requirements
</t>
    </r>
    <r>
      <rPr>
        <b/>
        <sz val="12"/>
        <color theme="1"/>
        <rFont val="Arial"/>
        <family val="2"/>
      </rPr>
      <t>Total Activities</t>
    </r>
    <r>
      <rPr>
        <sz val="10"/>
        <rFont val="Arial"/>
        <family val="2"/>
      </rPr>
      <t xml:space="preserve">: All activities subject to regulatory oversight
</t>
    </r>
    <r>
      <rPr>
        <b/>
        <sz val="12"/>
        <color theme="1"/>
        <rFont val="Arial"/>
        <family val="2"/>
      </rPr>
      <t>Regulatory</t>
    </r>
    <r>
      <rPr>
        <sz val="10"/>
        <rFont val="Arial"/>
        <family val="2"/>
      </rPr>
      <t>: Planning, building control, H&amp;S, environmental</t>
    </r>
  </si>
  <si>
    <t>Total Regulatory Activities: 500
Compliant Activities: 485
Non-Compliant Activities: 15</t>
  </si>
  <si>
    <t>485 ÷ 500 × 100%</t>
  </si>
  <si>
    <t>97% (Amber)</t>
  </si>
  <si>
    <t>Approved: 47, Submitted: 52</t>
  </si>
  <si>
    <r>
      <t>Approved</t>
    </r>
    <r>
      <rPr>
        <sz val="10"/>
        <rFont val="Arial"/>
        <family val="2"/>
      </rPr>
      <t xml:space="preserve">: Applications receiving full planning permission
</t>
    </r>
    <r>
      <rPr>
        <b/>
        <sz val="12"/>
        <color theme="1"/>
        <rFont val="Arial"/>
        <family val="2"/>
      </rPr>
      <t>Submitted</t>
    </r>
    <r>
      <rPr>
        <sz val="10"/>
        <rFont val="Arial"/>
        <family val="2"/>
      </rPr>
      <t xml:space="preserve">: All planning applications lodged in period
</t>
    </r>
    <r>
      <rPr>
        <b/>
        <sz val="12"/>
        <color theme="1"/>
        <rFont val="Arial"/>
        <family val="2"/>
      </rPr>
      <t>Success</t>
    </r>
    <r>
      <rPr>
        <sz val="10"/>
        <rFont val="Arial"/>
        <family val="2"/>
      </rPr>
      <t>: Approval without major conditions affecting delivery</t>
    </r>
  </si>
  <si>
    <t>Applications Submitted: 52
Applications Approved: 47
Applications Refused/Withdrawn: 5</t>
  </si>
  <si>
    <t>47 ÷ 52 × 100%</t>
  </si>
  <si>
    <t>First Time: 48, Total: 52</t>
  </si>
  <si>
    <r>
      <t>First Time Approval</t>
    </r>
    <r>
      <rPr>
        <sz val="10"/>
        <rFont val="Arial"/>
        <family val="2"/>
      </rPr>
      <t xml:space="preserve">: Building regulation approval without conditions
</t>
    </r>
    <r>
      <rPr>
        <b/>
        <sz val="12"/>
        <color theme="1"/>
        <rFont val="Arial"/>
        <family val="2"/>
      </rPr>
      <t>Total Applications</t>
    </r>
    <r>
      <rPr>
        <sz val="10"/>
        <rFont val="Arial"/>
        <family val="2"/>
      </rPr>
      <t xml:space="preserve">: All building reg applications submitted
</t>
    </r>
    <r>
      <rPr>
        <b/>
        <sz val="12"/>
        <color theme="1"/>
        <rFont val="Arial"/>
        <family val="2"/>
      </rPr>
      <t>Compliance</t>
    </r>
    <r>
      <rPr>
        <sz val="10"/>
        <rFont val="Arial"/>
        <family val="2"/>
      </rPr>
      <t>: Meeting building standards without modification</t>
    </r>
  </si>
  <si>
    <t>Applications Submitted: 52
First Time Approvals: 48
Conditional/Refused: 4</t>
  </si>
  <si>
    <t>48 ÷ 52 × 100%</t>
  </si>
  <si>
    <t>Programme: 0.4, Benchmark: 0.8</t>
  </si>
  <si>
    <r>
      <t>Accident Frequency Rate</t>
    </r>
    <r>
      <rPr>
        <sz val="10"/>
        <rFont val="Arial"/>
        <family val="2"/>
      </rPr>
      <t xml:space="preserve">: RIDDOR incidents per 100,000 hours worked
</t>
    </r>
    <r>
      <rPr>
        <b/>
        <sz val="12"/>
        <color theme="1"/>
        <rFont val="Arial"/>
        <family val="2"/>
      </rPr>
      <t>Industry Benchmark</t>
    </r>
    <r>
      <rPr>
        <sz val="10"/>
        <rFont val="Arial"/>
        <family val="2"/>
      </rPr>
      <t xml:space="preserve">: Construction industry average AFR
</t>
    </r>
    <r>
      <rPr>
        <b/>
        <sz val="12"/>
        <color theme="1"/>
        <rFont val="Arial"/>
        <family val="2"/>
      </rPr>
      <t>Performance</t>
    </r>
    <r>
      <rPr>
        <sz val="10"/>
        <rFont val="Arial"/>
        <family val="2"/>
      </rPr>
      <t>: Lower ratio = better safety performance</t>
    </r>
  </si>
  <si>
    <t>Programme AFR: 0.4 per 100k hours
Industry Benchmark: 0.8 per 100k hours
Safety Ratio: 0.5</t>
  </si>
  <si>
    <t>0.4 ÷ 0.8</t>
  </si>
  <si>
    <t>0.5 (Green)</t>
  </si>
  <si>
    <t>50 units, 8 weeks avg, £400/week</t>
  </si>
  <si>
    <r>
      <t>Delay Weeks</t>
    </r>
    <r>
      <rPr>
        <sz val="10"/>
        <rFont val="Arial"/>
        <family val="2"/>
      </rPr>
      <t xml:space="preserve">: Average weeks delay beyond planned completion
</t>
    </r>
    <r>
      <rPr>
        <b/>
        <sz val="12"/>
        <color theme="1"/>
        <rFont val="Arial"/>
        <family val="2"/>
      </rPr>
      <t>Void Cost</t>
    </r>
    <r>
      <rPr>
        <sz val="10"/>
        <rFont val="Arial"/>
        <family val="2"/>
      </rPr>
      <t xml:space="preserve">: Weekly cost of empty social housing unit
</t>
    </r>
    <r>
      <rPr>
        <b/>
        <sz val="12"/>
        <color theme="1"/>
        <rFont val="Arial"/>
        <family val="2"/>
      </rPr>
      <t>Delayed Units</t>
    </r>
    <r>
      <rPr>
        <sz val="10"/>
        <rFont val="Arial"/>
        <family val="2"/>
      </rPr>
      <t>: Number of units affected by delays</t>
    </r>
  </si>
  <si>
    <t>Delayed Units: 50
Average Delay: 8 weeks
Weekly Void Cost: £400</t>
  </si>
  <si>
    <t>50 × 8 × £400</t>
  </si>
  <si>
    <t>£160K (Green)</t>
  </si>
  <si>
    <t>Incorporated: 78, Total: 100</t>
  </si>
  <si>
    <r>
      <t>Feedback Incorporated</t>
    </r>
    <r>
      <rPr>
        <sz val="10"/>
        <rFont val="Arial"/>
        <family val="2"/>
      </rPr>
      <t xml:space="preserve">: Community suggestions/concerns addressed in project
</t>
    </r>
    <r>
      <rPr>
        <b/>
        <sz val="12"/>
        <color theme="1"/>
        <rFont val="Arial"/>
        <family val="2"/>
      </rPr>
      <t>Total Feedback</t>
    </r>
    <r>
      <rPr>
        <sz val="10"/>
        <rFont val="Arial"/>
        <family val="2"/>
      </rPr>
      <t xml:space="preserve">: All community feedback received through consultation
</t>
    </r>
    <r>
      <rPr>
        <b/>
        <sz val="12"/>
        <color theme="1"/>
        <rFont val="Arial"/>
        <family val="2"/>
      </rPr>
      <t>Effectiveness</t>
    </r>
    <r>
      <rPr>
        <sz val="10"/>
        <rFont val="Arial"/>
        <family val="2"/>
      </rPr>
      <t>: Percentage of feedback leading to project changes</t>
    </r>
  </si>
  <si>
    <t>Total Community Feedback: 100
Feedback Incorporated: 78
Feedback Not Incorporated: 22</t>
  </si>
  <si>
    <t>((Resident × 40%) + (GLA × 30%) + (Contractor × 30%))</t>
  </si>
  <si>
    <t>Residents: 82%, GLA: 78%, Contractors: 85%</t>
  </si>
  <si>
    <r>
      <t>Resident Satisfaction</t>
    </r>
    <r>
      <rPr>
        <sz val="10"/>
        <rFont val="Arial"/>
        <family val="2"/>
      </rPr>
      <t xml:space="preserve">: Survey results from affected residents
</t>
    </r>
    <r>
      <rPr>
        <b/>
        <sz val="12"/>
        <color theme="1"/>
        <rFont val="Arial"/>
        <family val="2"/>
      </rPr>
      <t>GLA Satisfaction</t>
    </r>
    <r>
      <rPr>
        <sz val="10"/>
        <rFont val="Arial"/>
        <family val="2"/>
      </rPr>
      <t xml:space="preserve">: Greater London Authority feedback on delivery
</t>
    </r>
    <r>
      <rPr>
        <b/>
        <sz val="12"/>
        <color theme="1"/>
        <rFont val="Arial"/>
        <family val="2"/>
      </rPr>
      <t>Contractor Satisfaction</t>
    </r>
    <r>
      <rPr>
        <sz val="10"/>
        <rFont val="Arial"/>
        <family val="2"/>
      </rPr>
      <t>: Contractor feedback on working relationship</t>
    </r>
  </si>
  <si>
    <t>Resident Satisfaction: 82%
GLA Satisfaction: 78%
Contractor Satisfaction: 85%</t>
  </si>
  <si>
    <t>(82×40%) + (78×30%) + (85×30%) = 32.8 + 23.4 + 25.5</t>
  </si>
  <si>
    <t>82% (Amber)</t>
  </si>
  <si>
    <t>Resolved: 47, Total: 50</t>
  </si>
  <si>
    <r>
      <t>Resolved Within SLA</t>
    </r>
    <r>
      <rPr>
        <sz val="10"/>
        <rFont val="Arial"/>
        <family val="2"/>
      </rPr>
      <t xml:space="preserve">: Complaints closed within service level agreement
</t>
    </r>
    <r>
      <rPr>
        <b/>
        <sz val="12"/>
        <color theme="1"/>
        <rFont val="Arial"/>
        <family val="2"/>
      </rPr>
      <t>Total Complaints</t>
    </r>
    <r>
      <rPr>
        <sz val="10"/>
        <rFont val="Arial"/>
        <family val="2"/>
      </rPr>
      <t xml:space="preserve">: All formal complaints received
</t>
    </r>
    <r>
      <rPr>
        <b/>
        <sz val="12"/>
        <color theme="1"/>
        <rFont val="Arial"/>
        <family val="2"/>
      </rPr>
      <t>SLA</t>
    </r>
    <r>
      <rPr>
        <sz val="10"/>
        <rFont val="Arial"/>
        <family val="2"/>
      </rPr>
      <t>: Typically 10 working days for standard complaints</t>
    </r>
  </si>
  <si>
    <t>Total Complaints: 50
Resolved Within SLA: 47
Overdue Complaints: 3</t>
  </si>
  <si>
    <t>Met: 42, Total: 50</t>
  </si>
  <si>
    <r>
      <t>Commitments Met</t>
    </r>
    <r>
      <rPr>
        <sz val="10"/>
        <rFont val="Arial"/>
        <family val="2"/>
      </rPr>
      <t xml:space="preserve">: Social value targets achieved or exceeded
</t>
    </r>
    <r>
      <rPr>
        <b/>
        <sz val="12"/>
        <color theme="1"/>
        <rFont val="Arial"/>
        <family val="2"/>
      </rPr>
      <t>Total Commitments</t>
    </r>
    <r>
      <rPr>
        <sz val="10"/>
        <rFont val="Arial"/>
        <family val="2"/>
      </rPr>
      <t xml:space="preserve">: All social value obligations in contracts
</t>
    </r>
    <r>
      <rPr>
        <b/>
        <sz val="12"/>
        <color theme="1"/>
        <rFont val="Arial"/>
        <family val="2"/>
      </rPr>
      <t>Social Value</t>
    </r>
    <r>
      <rPr>
        <sz val="10"/>
        <rFont val="Arial"/>
        <family val="2"/>
      </rPr>
      <t>: Apprenticeships, local employment, community facilities</t>
    </r>
  </si>
  <si>
    <t>Total Commitments: 50
Commitments Met: 42
Commitments Not Met: 8</t>
  </si>
  <si>
    <t>42 ÷ 50 × 100%</t>
  </si>
  <si>
    <t>84% (Amber)</t>
  </si>
  <si>
    <t>Local: 85, Apprentices: 15, Total: 500</t>
  </si>
  <si>
    <r>
      <t>Local Workers</t>
    </r>
    <r>
      <rPr>
        <sz val="10"/>
        <rFont val="Arial"/>
        <family val="2"/>
      </rPr>
      <t xml:space="preserve">: Workers with local postcodes (within 5 miles)
</t>
    </r>
    <r>
      <rPr>
        <b/>
        <sz val="12"/>
        <color theme="1"/>
        <rFont val="Arial"/>
        <family val="2"/>
      </rPr>
      <t>Apprentices</t>
    </r>
    <r>
      <rPr>
        <sz val="10"/>
        <rFont val="Arial"/>
        <family val="2"/>
      </rPr>
      <t xml:space="preserve">: Registered apprentices on construction programmes
</t>
    </r>
    <r>
      <rPr>
        <b/>
        <sz val="12"/>
        <color theme="1"/>
        <rFont val="Arial"/>
        <family val="2"/>
      </rPr>
      <t>Total Workforce</t>
    </r>
    <r>
      <rPr>
        <sz val="10"/>
        <rFont val="Arial"/>
        <family val="2"/>
      </rPr>
      <t>: All workers engaged on programme</t>
    </r>
  </si>
  <si>
    <t>Local Workers: 85
Apprentices: 15
Total Workforce: 500
Local + Apprentices: 100</t>
  </si>
  <si>
    <t>(85 + 15) ÷ 500 × 100%</t>
  </si>
  <si>
    <t>20% (Amber)</t>
  </si>
  <si>
    <t>SME: £9M, Total: £40M</t>
  </si>
  <si>
    <r>
      <t>SME Contract Value</t>
    </r>
    <r>
      <rPr>
        <sz val="10"/>
        <rFont val="Arial"/>
        <family val="2"/>
      </rPr>
      <t xml:space="preserve">: Value of contracts awarded to small/medium enterprises
</t>
    </r>
    <r>
      <rPr>
        <b/>
        <sz val="12"/>
        <color theme="1"/>
        <rFont val="Arial"/>
        <family val="2"/>
      </rPr>
      <t>Total Contract Value</t>
    </r>
    <r>
      <rPr>
        <sz val="10"/>
        <rFont val="Arial"/>
        <family val="2"/>
      </rPr>
      <t xml:space="preserve">: All contract awards in period
</t>
    </r>
    <r>
      <rPr>
        <b/>
        <sz val="12"/>
        <color theme="1"/>
        <rFont val="Arial"/>
        <family val="2"/>
      </rPr>
      <t>SME Definition</t>
    </r>
    <r>
      <rPr>
        <sz val="10"/>
        <rFont val="Arial"/>
        <family val="2"/>
      </rPr>
      <t>: &lt;250 employees, &lt;£50M turnover (UK Gov definition)</t>
    </r>
  </si>
  <si>
    <t>SME Contract Value: £9M
Total Contract Value: £40M
SME Proportion: 22.5%</t>
  </si>
  <si>
    <t>9 ÷ 40 × 100%</t>
  </si>
  <si>
    <t>23% (Amber)</t>
  </si>
  <si>
    <t>Achieved: £9.0M, Forecast: £10.0M</t>
  </si>
  <si>
    <r>
      <t>Benefits Achieved</t>
    </r>
    <r>
      <rPr>
        <sz val="10"/>
        <rFont val="Arial"/>
        <family val="2"/>
      </rPr>
      <t xml:space="preserve">: Actual measured benefits delivered post-completion
</t>
    </r>
    <r>
      <rPr>
        <b/>
        <sz val="12"/>
        <color theme="1"/>
        <rFont val="Arial"/>
        <family val="2"/>
      </rPr>
      <t>Benefits Forecast</t>
    </r>
    <r>
      <rPr>
        <sz val="10"/>
        <rFont val="Arial"/>
        <family val="2"/>
      </rPr>
      <t xml:space="preserve">: Expected benefits outlined in business case
</t>
    </r>
    <r>
      <rPr>
        <b/>
        <sz val="12"/>
        <color theme="1"/>
        <rFont val="Arial"/>
        <family val="2"/>
      </rPr>
      <t>Realisation</t>
    </r>
    <r>
      <rPr>
        <sz val="10"/>
        <rFont val="Arial"/>
        <family val="2"/>
      </rPr>
      <t>: Percentage of promised benefits actually delivered</t>
    </r>
  </si>
  <si>
    <t>Benefits Forecast: £10.0M
Benefits Achieved: £9.0M
Shortfall: £1.0M</t>
  </si>
  <si>
    <t>9.0 ÷ 10.0 × 100%</t>
  </si>
  <si>
    <t>Aligned: 19, Total: 20</t>
  </si>
  <si>
    <r>
      <t>Aligned Schemes</t>
    </r>
    <r>
      <rPr>
        <sz val="10"/>
        <rFont val="Arial"/>
        <family val="2"/>
      </rPr>
      <t xml:space="preserve">: Projects delivering outcomes matching business case objectives
</t>
    </r>
    <r>
      <rPr>
        <b/>
        <sz val="12"/>
        <color theme="1"/>
        <rFont val="Arial"/>
        <family val="2"/>
      </rPr>
      <t>BC Objectives</t>
    </r>
    <r>
      <rPr>
        <sz val="10"/>
        <rFont val="Arial"/>
        <family val="2"/>
      </rPr>
      <t xml:space="preserve">: Original business case success criteria
</t>
    </r>
    <r>
      <rPr>
        <b/>
        <sz val="12"/>
        <color theme="1"/>
        <rFont val="Arial"/>
        <family val="2"/>
      </rPr>
      <t>Alignment</t>
    </r>
    <r>
      <rPr>
        <sz val="10"/>
        <rFont val="Arial"/>
        <family val="2"/>
      </rPr>
      <t>: Project outcomes consistent with approved objectives</t>
    </r>
  </si>
  <si>
    <t>Total Schemes: 20
Aligned to BC Objectives: 19
Misaligned Schemes: 1</t>
  </si>
  <si>
    <t>19 ÷ 20 × 100%</t>
  </si>
  <si>
    <t>Delivered: 45, Approved: 47</t>
  </si>
  <si>
    <r>
      <t>Approved Scope</t>
    </r>
    <r>
      <rPr>
        <sz val="10"/>
        <rFont val="Arial"/>
        <family val="2"/>
      </rPr>
      <t xml:space="preserve">: Original scope items plus approved variations
</t>
    </r>
    <r>
      <rPr>
        <b/>
        <sz val="12"/>
        <color theme="1"/>
        <rFont val="Arial"/>
        <family val="2"/>
      </rPr>
      <t>Delivered</t>
    </r>
    <r>
      <rPr>
        <sz val="10"/>
        <rFont val="Arial"/>
        <family val="2"/>
      </rPr>
      <t xml:space="preserve">: Scope items completed to specification
</t>
    </r>
    <r>
      <rPr>
        <b/>
        <sz val="12"/>
        <color theme="1"/>
        <rFont val="Arial"/>
        <family val="2"/>
      </rPr>
      <t>Adherence</t>
    </r>
    <r>
      <rPr>
        <sz val="10"/>
        <rFont val="Arial"/>
        <family val="2"/>
      </rPr>
      <t>: Delivery of approved scope without unauthorized changes</t>
    </r>
  </si>
  <si>
    <t>Total Approved Scope Items: 47
Scope Items Delivered: 45
Outstanding Scope Items: 2</t>
  </si>
  <si>
    <t>45 ÷ 47 × 100%</t>
  </si>
  <si>
    <t>96% (Green)</t>
  </si>
  <si>
    <t>BC Budget: £25M, Actual: £26M</t>
  </si>
  <si>
    <r>
      <t>Actual Cost</t>
    </r>
    <r>
      <rPr>
        <sz val="10"/>
        <rFont val="Arial"/>
        <family val="2"/>
      </rPr>
      <t xml:space="preserve">: Final project cost including all variations
</t>
    </r>
    <r>
      <rPr>
        <b/>
        <sz val="12"/>
        <color theme="1"/>
        <rFont val="Arial"/>
        <family val="2"/>
      </rPr>
      <t>BC Approved Budget</t>
    </r>
    <r>
      <rPr>
        <sz val="10"/>
        <rFont val="Arial"/>
        <family val="2"/>
      </rPr>
      <t xml:space="preserve">: Budget approved in original business case
</t>
    </r>
    <r>
      <rPr>
        <b/>
        <sz val="12"/>
        <color theme="1"/>
        <rFont val="Arial"/>
        <family val="2"/>
      </rPr>
      <t>Cost Variance</t>
    </r>
    <r>
      <rPr>
        <sz val="10"/>
        <rFont val="Arial"/>
        <family val="2"/>
      </rPr>
      <t>: Positive = overspend, negative = underspend</t>
    </r>
  </si>
  <si>
    <t>BC Approved Budget: £25M
Actual Project Cost: £26M
Budget Variance: £1M overspend</t>
  </si>
  <si>
    <t>(26 - 25) ÷ 25 × 100%</t>
  </si>
  <si>
    <t>000s</t>
  </si>
  <si>
    <t>&lt;300000</t>
  </si>
  <si>
    <t>300000-600000</t>
  </si>
  <si>
    <t>&gt;600000</t>
  </si>
  <si>
    <t>(Delay Weeks × void cost × Delayed Units)</t>
  </si>
  <si>
    <t xml:space="preserve"> </t>
  </si>
  <si>
    <t>-</t>
  </si>
  <si>
    <t>Poor delivery execution directly undermines programme success across time and budget metrics</t>
  </si>
  <si>
    <t>KPI at severe risk of dropping to 70-80% range if delivery issues persist</t>
  </si>
  <si>
    <t>Financial instability makes accurate forecasting harder due to volatile costs and funding uncertainty</t>
  </si>
  <si>
    <t>KPI may deteriorate to 95-100% accuracy as financial pressures increase forecasting difficulty</t>
  </si>
  <si>
    <t>Delivery execution problems create schedule unpredictability and unreliable planning</t>
  </si>
  <si>
    <t>KPI likely to fall to 90-95% range as delivery issues compound scheduling challenges</t>
  </si>
  <si>
    <t>Financial constraints limit ability to manage changes effectively and may force more variations</t>
  </si>
  <si>
    <t>KPI could worsen to 7-10% if financial pressures increase change frequency and complexity</t>
  </si>
  <si>
    <t>Strategic drift may lead to budget allocation inefficiencies and conflicting spending priorities</t>
  </si>
  <si>
    <t>KPI at risk of declining to 70-75% if strategic clarity isn't restored</t>
  </si>
  <si>
    <t>Strategic misalignment often leads to reactive spending and poor contingency management</t>
  </si>
  <si>
    <t>KPI may drop to 35-40% as strategic confusion drives unnecessary contingency use</t>
  </si>
  <si>
    <t>Technical integration issues may slow defect resolution but strong current performance provides buffer</t>
  </si>
  <si>
    <t>KPI expected to maintain 85-90% despite technical challenges</t>
  </si>
  <si>
    <t>High stakeholder risk offset by exceptional resident satisfaction - community support remains strong</t>
  </si>
  <si>
    <t>KPI likely to remain 120-140% as resident satisfaction buffers broader stakeholder concerns</t>
  </si>
  <si>
    <t>Technical integration problems directly impact quality delivery and standards compliance</t>
  </si>
  <si>
    <t>KPI at severe risk of falling to 35-45% if technical issues aren't resolved quickly</t>
  </si>
  <si>
    <t>Supply chain pressures exist but supplier stability remains high, indicating good relationship management</t>
  </si>
  <si>
    <t>KPI expected to maintain 85-90% as strong relationships weather supply chain challenges</t>
  </si>
  <si>
    <t>Resource constraints may impact reporting capability and administrative functions</t>
  </si>
  <si>
    <t>KPI may decline to 85-90% if resource pressures affect reporting team capacity</t>
  </si>
  <si>
    <t>Supply chain risks manageable given strong contractor performance and established relationships</t>
  </si>
  <si>
    <t>KPI likely to maintain 80-85% performance despite supply chain pressures</t>
  </si>
  <si>
    <t>Regulatory compliance pressures may slow approvals and increase rejection rates</t>
  </si>
  <si>
    <t>KPI at risk of declining to 80-85% if regulatory environment becomes more challenging</t>
  </si>
  <si>
    <t>Safety performance excellent despite regulatory pressures, demonstrating strong safety culture</t>
  </si>
  <si>
    <t>KPI expected to maintain 0.4-0.6 range as safety remains priority despite other pressures</t>
  </si>
  <si>
    <t>Resource constraints directly drive delivery delays and associated costs</t>
  </si>
  <si>
    <t>KPI likely to worsen to £300-400K range if resource issues aren't addressed</t>
  </si>
  <si>
    <t>High stakeholder risk may increase complaint volumes and complexity, straining resolution capacity</t>
  </si>
  <si>
    <t>KPI may decline to 85-90% if stakeholder confidence issues generate more difficult complaints</t>
  </si>
  <si>
    <t>Very high community risk directly threatens social value delivery and community benefit programs</t>
  </si>
  <si>
    <t>KPI at severe risk of falling to 65-75% if community relationships deteriorate further</t>
  </si>
  <si>
    <t>Extremely high community risk indicates serious engagement breakdown requiring immediate intervention</t>
  </si>
  <si>
    <t>KPI likely to fall to 60-70% unless urgent community relationship repair undertaken</t>
  </si>
  <si>
    <r>
      <rPr>
        <b/>
        <sz val="12"/>
        <rFont val="Arial"/>
        <family val="2"/>
      </rPr>
      <t xml:space="preserve">Critical Action Required </t>
    </r>
    <r>
      <rPr>
        <sz val="12"/>
        <rFont val="Arial"/>
        <family val="2"/>
      </rPr>
      <t>- Delivery risk threatens core programme performance</t>
    </r>
  </si>
  <si>
    <r>
      <rPr>
        <b/>
        <sz val="12"/>
        <rFont val="Arial"/>
        <family val="2"/>
      </rPr>
      <t>Watch closely</t>
    </r>
    <r>
      <rPr>
        <sz val="12"/>
        <rFont val="Arial"/>
        <family val="2"/>
      </rPr>
      <t xml:space="preserve"> - Financial stress will impact forecasting reliability</t>
    </r>
  </si>
  <si>
    <r>
      <rPr>
        <b/>
        <sz val="12"/>
        <rFont val="Arial"/>
        <family val="2"/>
      </rPr>
      <t>Urgent intervention needed</t>
    </r>
    <r>
      <rPr>
        <sz val="12"/>
        <rFont val="Arial"/>
        <family val="2"/>
      </rPr>
      <t xml:space="preserve"> - Schedule reliability at risk from delivery problems</t>
    </r>
  </si>
  <si>
    <r>
      <rPr>
        <b/>
        <sz val="12"/>
        <rFont val="Arial"/>
        <family val="2"/>
      </rPr>
      <t>Concerning trend</t>
    </r>
    <r>
      <rPr>
        <sz val="12"/>
        <rFont val="Arial"/>
        <family val="2"/>
      </rPr>
      <t xml:space="preserve"> - Financial stress driving more changes</t>
    </r>
  </si>
  <si>
    <r>
      <rPr>
        <b/>
        <sz val="12"/>
        <rFont val="Arial"/>
        <family val="2"/>
      </rPr>
      <t xml:space="preserve">Realignment needed </t>
    </r>
    <r>
      <rPr>
        <sz val="12"/>
        <rFont val="Arial"/>
        <family val="2"/>
      </rPr>
      <t>- Budget efficiency suffering from strategic uncertainty</t>
    </r>
  </si>
  <si>
    <r>
      <rPr>
        <b/>
        <sz val="12"/>
        <rFont val="Arial"/>
        <family val="2"/>
      </rPr>
      <t>Strategy review required</t>
    </r>
    <r>
      <rPr>
        <sz val="12"/>
        <rFont val="Arial"/>
        <family val="2"/>
      </rPr>
      <t xml:space="preserve"> - Contingency preservation needs clearer strategic direction</t>
    </r>
  </si>
  <si>
    <r>
      <rPr>
        <b/>
        <sz val="12"/>
        <rFont val="Arial"/>
        <family val="2"/>
      </rPr>
      <t xml:space="preserve">Manageable </t>
    </r>
    <r>
      <rPr>
        <sz val="12"/>
        <rFont val="Arial"/>
        <family val="2"/>
      </rPr>
      <t>- Technical issues contained, defect resolution remains strong</t>
    </r>
  </si>
  <si>
    <r>
      <rPr>
        <b/>
        <sz val="12"/>
        <rFont val="Arial"/>
        <family val="2"/>
      </rPr>
      <t>Positive outcome</t>
    </r>
    <r>
      <rPr>
        <sz val="12"/>
        <rFont val="Arial"/>
        <family val="2"/>
      </rPr>
      <t xml:space="preserve"> - Resident satisfaction protecting overall stakeholder confidence</t>
    </r>
  </si>
  <si>
    <r>
      <rPr>
        <b/>
        <sz val="12"/>
        <rFont val="Arial"/>
        <family val="2"/>
      </rPr>
      <t>Resilient position</t>
    </r>
    <r>
      <rPr>
        <sz val="12"/>
        <rFont val="Arial"/>
        <family val="2"/>
      </rPr>
      <t xml:space="preserve"> - Good supplier relationships providing stability</t>
    </r>
  </si>
  <si>
    <r>
      <rPr>
        <b/>
        <sz val="12"/>
        <rFont val="Arial"/>
        <family val="2"/>
      </rPr>
      <t>Resource pressure building</t>
    </r>
    <r>
      <rPr>
        <sz val="12"/>
        <rFont val="Arial"/>
        <family val="2"/>
      </rPr>
      <t xml:space="preserve"> - Reporting quality at risk from capacity constraints</t>
    </r>
  </si>
  <si>
    <r>
      <rPr>
        <b/>
        <sz val="12"/>
        <rFont val="Arial"/>
        <family val="2"/>
      </rPr>
      <t xml:space="preserve">Stable performance </t>
    </r>
    <r>
      <rPr>
        <sz val="12"/>
        <rFont val="Arial"/>
        <family val="2"/>
      </rPr>
      <t>- Strong contractor relationships mitigating supply chain risks</t>
    </r>
  </si>
  <si>
    <r>
      <rPr>
        <b/>
        <sz val="12"/>
        <rFont val="Arial"/>
        <family val="2"/>
      </rPr>
      <t xml:space="preserve">Compliance monitoring essential </t>
    </r>
    <r>
      <rPr>
        <sz val="12"/>
        <rFont val="Arial"/>
        <family val="2"/>
      </rPr>
      <t>- Regulatory pressures building</t>
    </r>
  </si>
  <si>
    <r>
      <rPr>
        <b/>
        <sz val="12"/>
        <rFont val="Arial"/>
        <family val="2"/>
      </rPr>
      <t xml:space="preserve">Excellent safety culture </t>
    </r>
    <r>
      <rPr>
        <sz val="12"/>
        <rFont val="Arial"/>
        <family val="2"/>
      </rPr>
      <t>- Regulatory risks not affecting core safety performance</t>
    </r>
  </si>
  <si>
    <r>
      <rPr>
        <b/>
        <sz val="12"/>
        <rFont val="Arial"/>
        <family val="2"/>
      </rPr>
      <t xml:space="preserve">Resource crisis developing </t>
    </r>
    <r>
      <rPr>
        <sz val="12"/>
        <rFont val="Arial"/>
        <family val="2"/>
      </rPr>
      <t>- Delays escalating due to capacity constraints</t>
    </r>
  </si>
  <si>
    <r>
      <rPr>
        <b/>
        <sz val="12"/>
        <rFont val="Arial"/>
        <family val="2"/>
      </rPr>
      <t xml:space="preserve">Stakeholder management critical </t>
    </r>
    <r>
      <rPr>
        <sz val="12"/>
        <rFont val="Arial"/>
        <family val="2"/>
      </rPr>
      <t>- Complaint resolution under pressure</t>
    </r>
  </si>
  <si>
    <r>
      <rPr>
        <b/>
        <sz val="12"/>
        <rFont val="Arial"/>
        <family val="2"/>
      </rPr>
      <t>Community relations crisis</t>
    </r>
    <r>
      <rPr>
        <sz val="12"/>
        <rFont val="Arial"/>
        <family val="2"/>
      </rPr>
      <t xml:space="preserve"> - Social value delivery severely threatened</t>
    </r>
  </si>
  <si>
    <r>
      <rPr>
        <b/>
        <sz val="12"/>
        <rFont val="Arial"/>
        <family val="2"/>
      </rPr>
      <t>Emergency community intervention required</t>
    </r>
    <r>
      <rPr>
        <sz val="12"/>
        <rFont val="Arial"/>
        <family val="2"/>
      </rPr>
      <t xml:space="preserve"> - Engagement breakdown critical</t>
    </r>
  </si>
  <si>
    <r>
      <rPr>
        <b/>
        <sz val="12"/>
        <rFont val="Arial"/>
        <family val="2"/>
      </rPr>
      <t>Critical quality crisis</t>
    </r>
    <r>
      <rPr>
        <sz val="12"/>
        <rFont val="Arial"/>
        <family val="2"/>
      </rPr>
      <t xml:space="preserve"> - Technical problems severely compromising quality</t>
    </r>
  </si>
  <si>
    <t>Excel Automation System – User Guidelines</t>
  </si>
  <si>
    <t>This document explains the important rules for using the automation system.</t>
  </si>
  <si>
    <t>For it to work correctly, follow these rules:</t>
  </si>
  <si>
    <t>Allowed:</t>
  </si>
  <si>
    <t>Use clear arithmetic with proper spacing or symbols.</t>
  </si>
  <si>
    <t>Examples:</t>
  </si>
  <si>
    <t>V1 + V2 - V3</t>
  </si>
  <si>
    <t>V1 * 100 / V2</t>
  </si>
  <si>
    <t>(V1 + V2) / 2</t>
  </si>
  <si>
    <t>V1 * (V2 + V3)</t>
  </si>
  <si>
    <t>Multiplication can be written as * or x (not the letter x)</t>
  </si>
  <si>
    <t>Division can be written as / or ÷.</t>
  </si>
  <si>
    <t>Percentages % are supported.</t>
  </si>
  <si>
    <t>Parentheses () are supported.</t>
  </si>
  <si>
    <t>Not Allowed (Will Break the code):</t>
  </si>
  <si>
    <t>Writing numbers directly next to variables without a symbol.</t>
  </si>
  <si>
    <t>Using functions like SUM(), IF(), ROUND().</t>
  </si>
  <si>
    <t>Only basic arithmetic (+, −, *, ÷, (), %) is supported.</t>
  </si>
  <si>
    <t>special characters outside of allowed symbols.</t>
  </si>
  <si>
    <t>95 % Of defects resolved</t>
  </si>
  <si>
    <r>
      <rPr>
        <b/>
        <sz val="12"/>
        <color theme="1"/>
        <rFont val="Arial"/>
        <family val="2"/>
      </rPr>
      <t xml:space="preserve">Budget: </t>
    </r>
    <r>
      <rPr>
        <sz val="10"/>
        <rFont val="Arial"/>
        <family val="2"/>
      </rPr>
      <t xml:space="preserve">12/54 = 22% affected = 78% score
</t>
    </r>
    <r>
      <rPr>
        <b/>
        <sz val="12"/>
        <color theme="1"/>
        <rFont val="Arial"/>
        <family val="2"/>
      </rPr>
      <t xml:space="preserve">Cost: </t>
    </r>
    <r>
      <rPr>
        <sz val="10"/>
        <rFont val="Arial"/>
        <family val="2"/>
      </rPr>
      <t xml:space="preserve">£2.3M/£50M = 4.6% exposure = 95% score
</t>
    </r>
    <r>
      <rPr>
        <b/>
        <sz val="10"/>
        <rFont val="Arial"/>
        <family val="2"/>
      </rPr>
      <t>Funding:</t>
    </r>
    <r>
      <rPr>
        <sz val="10"/>
        <rFont val="Arial"/>
        <family val="2"/>
      </rPr>
      <t xml:space="preserve"> £15M/£25M = 60% at risk = 40% score
</t>
    </r>
    <r>
      <rPr>
        <b/>
        <sz val="10"/>
        <rFont val="Arial"/>
        <family val="2"/>
      </rPr>
      <t>Revenue:</t>
    </r>
    <r>
      <rPr>
        <sz val="10"/>
        <rFont val="Arial"/>
        <family val="2"/>
      </rPr>
      <t xml:space="preserve"> £8M/£20M = 40% shortfall = 60% score
</t>
    </r>
    <r>
      <rPr>
        <b/>
        <sz val="10"/>
        <rFont val="Arial"/>
        <family val="2"/>
      </rPr>
      <t>Market</t>
    </r>
    <r>
      <rPr>
        <sz val="10"/>
        <rFont val="Arial"/>
        <family val="2"/>
      </rPr>
      <t>: 8% value drop = 42% score</t>
    </r>
  </si>
  <si>
    <r>
      <rPr>
        <b/>
        <sz val="10"/>
        <rFont val="Arial"/>
        <family val="2"/>
      </rPr>
      <t>Input A:</t>
    </r>
    <r>
      <rPr>
        <sz val="10"/>
        <rFont val="Arial"/>
        <family val="2"/>
      </rPr>
      <t xml:space="preserve"> Contractor: 83%, 
</t>
    </r>
    <r>
      <rPr>
        <b/>
        <sz val="10"/>
        <rFont val="Arial"/>
        <family val="2"/>
      </rPr>
      <t xml:space="preserve">Input B: </t>
    </r>
    <r>
      <rPr>
        <sz val="10"/>
        <rFont val="Arial"/>
        <family val="2"/>
      </rPr>
      <t xml:space="preserve">Materials: 65%, 
</t>
    </r>
    <r>
      <rPr>
        <b/>
        <sz val="10"/>
        <rFont val="Arial"/>
        <family val="2"/>
      </rPr>
      <t>Input C:</t>
    </r>
    <r>
      <rPr>
        <sz val="10"/>
        <rFont val="Arial"/>
        <family val="2"/>
      </rPr>
      <t xml:space="preserve"> Safety: 96%, 
</t>
    </r>
    <r>
      <rPr>
        <b/>
        <sz val="10"/>
        <rFont val="Arial"/>
        <family val="2"/>
      </rPr>
      <t>Input D:</t>
    </r>
    <r>
      <rPr>
        <sz val="10"/>
        <rFont val="Arial"/>
        <family val="2"/>
      </rPr>
      <t xml:space="preserve"> Quality: 95%, 
</t>
    </r>
    <r>
      <rPr>
        <b/>
        <sz val="10"/>
        <rFont val="Arial"/>
        <family val="2"/>
      </rPr>
      <t>Input E:</t>
    </r>
    <r>
      <rPr>
        <sz val="10"/>
        <rFont val="Arial"/>
        <family val="2"/>
      </rPr>
      <t xml:space="preserve"> Risk Mgmt: 75%</t>
    </r>
  </si>
  <si>
    <t>Input A: Contractor: 83%, 
Input B: Materials: 65%, 
Input C: Safety: 96%, 
Input D: Quality: 95%, 
Input E: Risk Mgmt: 75%</t>
  </si>
  <si>
    <t xml:space="preserve">Impact Score </t>
  </si>
  <si>
    <t xml:space="preserve">Probability </t>
  </si>
  <si>
    <t>Band</t>
  </si>
  <si>
    <t>Financial Impact (£)</t>
  </si>
  <si>
    <t>&lt; £250,000</t>
  </si>
  <si>
    <t>£250,000 – £1,000,000</t>
  </si>
  <si>
    <t>£1,000,000 – £5,000,000</t>
  </si>
  <si>
    <t>£5,000,000 – £15,000,000</t>
  </si>
  <si>
    <t>&gt; £15,000,000</t>
  </si>
  <si>
    <t>88 %</t>
  </si>
  <si>
    <t>This needs to be on lessons learnt as well</t>
  </si>
  <si>
    <t>All</t>
  </si>
  <si>
    <t>Alfred Fagon</t>
  </si>
  <si>
    <t>Hemali Topiwala / Osama Shoush</t>
  </si>
  <si>
    <t>Richard Ekelegbu</t>
  </si>
  <si>
    <t>Osama Shoush / Lorraine Roach</t>
  </si>
  <si>
    <t>Srategic Director</t>
  </si>
  <si>
    <t>Compliance with PCR 2015 procurement practices is not strong at all levels of procurement,which exposes the council to regulatory sanctions, legal challenge and financial penalties</t>
  </si>
  <si>
    <t>Data Completion</t>
  </si>
  <si>
    <t>5/5</t>
  </si>
  <si>
    <t>4/5</t>
  </si>
  <si>
    <t>Tier</t>
  </si>
  <si>
    <t>Tier 3</t>
  </si>
  <si>
    <t>Tier 2</t>
  </si>
  <si>
    <t>Tier 1</t>
  </si>
  <si>
    <t>Minimum Required Inputs</t>
  </si>
  <si>
    <t xml:space="preserve">(Contractor Stability* 30% + Material Security*25% + Safety Compliance*25% + Quality Standards*15% + Risk Management*5%) </t>
  </si>
  <si>
    <t>79.4%</t>
  </si>
  <si>
    <t>88 % Of cost forecasts accurate</t>
  </si>
  <si>
    <t>79.4% Of supply chain disruption risk</t>
  </si>
  <si>
    <t/>
  </si>
  <si>
    <t>Zoe Davies / Hemali Topiwala / Osama Shoush</t>
  </si>
  <si>
    <t>Margaret Burrell</t>
  </si>
  <si>
    <t>Zoe Davies / Richard Ekelegbu</t>
  </si>
  <si>
    <t>Zoe Davies / Margaret Burrell</t>
  </si>
  <si>
    <t>Early engagement with the Lettings team and do not take PC handover until properties can be let.</t>
  </si>
  <si>
    <t xml:space="preserve"> Of reports submitted on time</t>
  </si>
  <si>
    <t xml:space="preserve"> Of contractor targets met</t>
  </si>
  <si>
    <t xml:space="preserve"> Of safety targets met</t>
  </si>
  <si>
    <r>
      <t>1.</t>
    </r>
    <r>
      <rPr>
        <b/>
        <sz val="7"/>
        <rFont val="Arial"/>
        <family val="2"/>
      </rPr>
      <t xml:space="preserve">     </t>
    </r>
    <r>
      <rPr>
        <b/>
        <sz val="12"/>
        <rFont val="Arial"/>
        <family val="2"/>
      </rPr>
      <t>Sheets – Do Not Rename or Delete</t>
    </r>
  </si>
  <si>
    <r>
      <t>·</t>
    </r>
    <r>
      <rPr>
        <sz val="7"/>
        <rFont val="Arial"/>
        <family val="2"/>
      </rPr>
      <t xml:space="preserve">       </t>
    </r>
    <r>
      <rPr>
        <sz val="12"/>
        <rFont val="Arial"/>
        <family val="2"/>
      </rPr>
      <t xml:space="preserve">Keep all </t>
    </r>
    <r>
      <rPr>
        <b/>
        <sz val="12"/>
        <rFont val="Arial"/>
        <family val="2"/>
      </rPr>
      <t>sheet names exactly as they are</t>
    </r>
    <r>
      <rPr>
        <sz val="12"/>
        <rFont val="Arial"/>
        <family val="2"/>
      </rPr>
      <t>.</t>
    </r>
  </si>
  <si>
    <r>
      <t>o</t>
    </r>
    <r>
      <rPr>
        <sz val="7"/>
        <rFont val="Arial"/>
        <family val="2"/>
      </rPr>
      <t xml:space="preserve">   </t>
    </r>
    <r>
      <rPr>
        <sz val="12"/>
        <rFont val="Arial"/>
        <family val="2"/>
      </rPr>
      <t>Example: Risks, Issues, KRI monthly changes...</t>
    </r>
  </si>
  <si>
    <r>
      <t>·</t>
    </r>
    <r>
      <rPr>
        <sz val="7"/>
        <rFont val="Arial"/>
        <family val="2"/>
      </rPr>
      <t xml:space="preserve">       </t>
    </r>
    <r>
      <rPr>
        <sz val="12"/>
        <rFont val="Arial"/>
        <family val="2"/>
      </rPr>
      <t>Do not add spaces, extra words, or change capitalization.</t>
    </r>
  </si>
  <si>
    <r>
      <t>·</t>
    </r>
    <r>
      <rPr>
        <sz val="7"/>
        <rFont val="Arial"/>
        <family val="2"/>
      </rPr>
      <t xml:space="preserve">       </t>
    </r>
    <r>
      <rPr>
        <sz val="12"/>
        <rFont val="Arial"/>
        <family val="2"/>
      </rPr>
      <t>Do not delete or move sheets — the VBA code refers to them directly.</t>
    </r>
  </si>
  <si>
    <r>
      <t>2.</t>
    </r>
    <r>
      <rPr>
        <b/>
        <sz val="7"/>
        <rFont val="Arial"/>
        <family val="2"/>
      </rPr>
      <t xml:space="preserve">     </t>
    </r>
    <r>
      <rPr>
        <b/>
        <sz val="12"/>
        <rFont val="Arial"/>
        <family val="2"/>
      </rPr>
      <t>Tables – Do Not Modify</t>
    </r>
  </si>
  <si>
    <r>
      <t>·</t>
    </r>
    <r>
      <rPr>
        <sz val="7"/>
        <rFont val="Arial"/>
        <family val="2"/>
      </rPr>
      <t xml:space="preserve">       </t>
    </r>
    <r>
      <rPr>
        <sz val="12"/>
        <rFont val="Arial"/>
        <family val="2"/>
      </rPr>
      <t xml:space="preserve">Keep all </t>
    </r>
    <r>
      <rPr>
        <b/>
        <sz val="12"/>
        <rFont val="Arial"/>
        <family val="2"/>
      </rPr>
      <t>table names</t>
    </r>
    <r>
      <rPr>
        <sz val="12"/>
        <rFont val="Arial"/>
        <family val="2"/>
      </rPr>
      <t xml:space="preserve"> (Excel structured tables) as they are.</t>
    </r>
  </si>
  <si>
    <r>
      <t>o</t>
    </r>
    <r>
      <rPr>
        <sz val="7"/>
        <rFont val="Arial"/>
        <family val="2"/>
      </rPr>
      <t xml:space="preserve">   </t>
    </r>
    <r>
      <rPr>
        <sz val="12"/>
        <rFont val="Arial"/>
        <family val="2"/>
      </rPr>
      <t>Example: RISK_table, KRI_monthly.</t>
    </r>
  </si>
  <si>
    <r>
      <t>·</t>
    </r>
    <r>
      <rPr>
        <sz val="7"/>
        <rFont val="Arial"/>
        <family val="2"/>
      </rPr>
      <t xml:space="preserve">       </t>
    </r>
    <r>
      <rPr>
        <sz val="12"/>
        <rFont val="Arial"/>
        <family val="2"/>
      </rPr>
      <t>Do not rename or delete tables.</t>
    </r>
  </si>
  <si>
    <r>
      <t>·</t>
    </r>
    <r>
      <rPr>
        <sz val="7"/>
        <rFont val="Arial"/>
        <family val="2"/>
      </rPr>
      <t xml:space="preserve">       </t>
    </r>
    <r>
      <rPr>
        <sz val="12"/>
        <rFont val="Arial"/>
        <family val="2"/>
      </rPr>
      <t>You can insert new columns to any table (for example to add notes…)</t>
    </r>
  </si>
  <si>
    <r>
      <t>3.</t>
    </r>
    <r>
      <rPr>
        <b/>
        <sz val="7"/>
        <rFont val="Arial"/>
        <family val="2"/>
      </rPr>
      <t xml:space="preserve">     </t>
    </r>
    <r>
      <rPr>
        <b/>
        <sz val="12"/>
        <rFont val="Arial"/>
        <family val="2"/>
      </rPr>
      <t>Columns &amp; Headers</t>
    </r>
  </si>
  <si>
    <r>
      <t>·</t>
    </r>
    <r>
      <rPr>
        <sz val="7"/>
        <rFont val="Arial"/>
        <family val="2"/>
      </rPr>
      <t xml:space="preserve">       </t>
    </r>
    <r>
      <rPr>
        <sz val="12"/>
        <rFont val="Arial"/>
        <family val="2"/>
      </rPr>
      <t xml:space="preserve">The existing Column headers in each table must remain </t>
    </r>
    <r>
      <rPr>
        <b/>
        <sz val="12"/>
        <rFont val="Arial"/>
        <family val="2"/>
      </rPr>
      <t>unchanged</t>
    </r>
    <r>
      <rPr>
        <sz val="12"/>
        <rFont val="Arial"/>
        <family val="2"/>
      </rPr>
      <t>.</t>
    </r>
  </si>
  <si>
    <r>
      <t>o</t>
    </r>
    <r>
      <rPr>
        <sz val="7"/>
        <rFont val="Arial"/>
        <family val="2"/>
      </rPr>
      <t xml:space="preserve">   </t>
    </r>
    <r>
      <rPr>
        <sz val="12"/>
        <rFont val="Arial"/>
        <family val="2"/>
      </rPr>
      <t>Example: Current Value, Green, KRI…</t>
    </r>
  </si>
  <si>
    <r>
      <t>·</t>
    </r>
    <r>
      <rPr>
        <sz val="7"/>
        <rFont val="Arial"/>
        <family val="2"/>
      </rPr>
      <t xml:space="preserve">       </t>
    </r>
    <r>
      <rPr>
        <sz val="12"/>
        <rFont val="Arial"/>
        <family val="2"/>
      </rPr>
      <t>Do not merge cells, or change header names.</t>
    </r>
  </si>
  <si>
    <r>
      <t>·</t>
    </r>
    <r>
      <rPr>
        <sz val="7"/>
        <rFont val="Arial"/>
        <family val="2"/>
      </rPr>
      <t xml:space="preserve">       </t>
    </r>
    <r>
      <rPr>
        <sz val="12"/>
        <rFont val="Arial"/>
        <family val="2"/>
      </rPr>
      <t xml:space="preserve">Only fill in data in the </t>
    </r>
    <r>
      <rPr>
        <b/>
        <sz val="12"/>
        <rFont val="Arial"/>
        <family val="2"/>
      </rPr>
      <t>designated input columns</t>
    </r>
  </si>
  <si>
    <r>
      <t>4.</t>
    </r>
    <r>
      <rPr>
        <b/>
        <sz val="7"/>
        <rFont val="Arial"/>
        <family val="2"/>
      </rPr>
      <t xml:space="preserve">     </t>
    </r>
    <r>
      <rPr>
        <b/>
        <sz val="12"/>
        <rFont val="Arial"/>
        <family val="2"/>
      </rPr>
      <t>Cells &amp; Ranges</t>
    </r>
  </si>
  <si>
    <r>
      <t>·</t>
    </r>
    <r>
      <rPr>
        <sz val="7"/>
        <rFont val="Arial"/>
        <family val="2"/>
      </rPr>
      <t xml:space="preserve">       </t>
    </r>
    <r>
      <rPr>
        <sz val="12"/>
        <rFont val="Arial"/>
        <family val="2"/>
      </rPr>
      <t xml:space="preserve">Do not delete or overwrite </t>
    </r>
    <r>
      <rPr>
        <b/>
        <sz val="12"/>
        <rFont val="Arial"/>
        <family val="2"/>
      </rPr>
      <t>formulas</t>
    </r>
    <r>
      <rPr>
        <sz val="12"/>
        <rFont val="Arial"/>
        <family val="2"/>
      </rPr>
      <t xml:space="preserve"> already present.</t>
    </r>
  </si>
  <si>
    <r>
      <t>·</t>
    </r>
    <r>
      <rPr>
        <sz val="7"/>
        <rFont val="Arial"/>
        <family val="2"/>
      </rPr>
      <t xml:space="preserve">       </t>
    </r>
    <r>
      <rPr>
        <sz val="12"/>
        <rFont val="Arial"/>
        <family val="2"/>
      </rPr>
      <t>Do not clear formatting or named ranges (these are linked to VBA).</t>
    </r>
  </si>
  <si>
    <r>
      <t>·</t>
    </r>
    <r>
      <rPr>
        <sz val="7"/>
        <rFont val="Arial"/>
        <family val="2"/>
      </rPr>
      <t xml:space="preserve">       </t>
    </r>
    <r>
      <rPr>
        <sz val="12"/>
        <rFont val="Arial"/>
        <family val="2"/>
      </rPr>
      <t xml:space="preserve">Only enter data in </t>
    </r>
    <r>
      <rPr>
        <b/>
        <sz val="12"/>
        <rFont val="Arial"/>
        <family val="2"/>
      </rPr>
      <t>white/unlocked cells</t>
    </r>
    <r>
      <rPr>
        <sz val="12"/>
        <rFont val="Arial"/>
        <family val="2"/>
      </rPr>
      <t xml:space="preserve"> (if sheet protection is used).</t>
    </r>
  </si>
  <si>
    <r>
      <t>5.</t>
    </r>
    <r>
      <rPr>
        <b/>
        <sz val="7"/>
        <rFont val="Arial"/>
        <family val="2"/>
      </rPr>
      <t xml:space="preserve">     </t>
    </r>
    <r>
      <rPr>
        <b/>
        <sz val="12"/>
        <rFont val="Arial"/>
        <family val="2"/>
      </rPr>
      <t>Formula Entry Rules</t>
    </r>
  </si>
  <si>
    <r>
      <t xml:space="preserve">The system includes a </t>
    </r>
    <r>
      <rPr>
        <b/>
        <sz val="12"/>
        <rFont val="Arial"/>
        <family val="2"/>
      </rPr>
      <t>formula parser</t>
    </r>
    <r>
      <rPr>
        <sz val="12"/>
        <rFont val="Arial"/>
        <family val="2"/>
      </rPr>
      <t xml:space="preserve"> that reads formulas you enter.</t>
    </r>
  </si>
  <si>
    <r>
      <t xml:space="preserve">Wrong: V1 + </t>
    </r>
    <r>
      <rPr>
        <u/>
        <sz val="12"/>
        <color rgb="FFEE0000"/>
        <rFont val="Arial"/>
        <family val="2"/>
      </rPr>
      <t>400</t>
    </r>
    <r>
      <rPr>
        <sz val="12"/>
        <color rgb="FFEE0000"/>
        <rFont val="Arial"/>
        <family val="2"/>
      </rPr>
      <t xml:space="preserve"> </t>
    </r>
    <r>
      <rPr>
        <sz val="12"/>
        <rFont val="Arial"/>
        <family val="2"/>
      </rPr>
      <t>V2 + V3</t>
    </r>
  </si>
  <si>
    <r>
      <t xml:space="preserve">Correct: V1 + </t>
    </r>
    <r>
      <rPr>
        <u/>
        <sz val="12"/>
        <color rgb="FF4EA72E"/>
        <rFont val="Arial"/>
        <family val="2"/>
      </rPr>
      <t>400 *</t>
    </r>
    <r>
      <rPr>
        <sz val="12"/>
        <rFont val="Arial"/>
        <family val="2"/>
      </rPr>
      <t xml:space="preserve"> V2 + V3</t>
    </r>
  </si>
  <si>
    <r>
      <t>6.</t>
    </r>
    <r>
      <rPr>
        <b/>
        <sz val="7"/>
        <rFont val="Arial"/>
        <family val="2"/>
      </rPr>
      <t xml:space="preserve">     </t>
    </r>
    <r>
      <rPr>
        <b/>
        <sz val="12"/>
        <rFont val="Arial"/>
        <family val="2"/>
      </rPr>
      <t>General Do’s and Don’ts</t>
    </r>
  </si>
  <si>
    <r>
      <t>·</t>
    </r>
    <r>
      <rPr>
        <sz val="7"/>
        <rFont val="Arial"/>
        <family val="2"/>
      </rPr>
      <t xml:space="preserve">       </t>
    </r>
    <r>
      <rPr>
        <sz val="12"/>
        <rFont val="Arial"/>
        <family val="2"/>
      </rPr>
      <t xml:space="preserve">Do </t>
    </r>
    <r>
      <rPr>
        <b/>
        <sz val="12"/>
        <rFont val="Arial"/>
        <family val="2"/>
      </rPr>
      <t>enter values and formulas only where instructed</t>
    </r>
    <r>
      <rPr>
        <sz val="12"/>
        <rFont val="Arial"/>
        <family val="2"/>
      </rPr>
      <t xml:space="preserve"> (Input A, Input B…)</t>
    </r>
  </si>
  <si>
    <r>
      <t>·</t>
    </r>
    <r>
      <rPr>
        <sz val="7"/>
        <rFont val="Arial"/>
        <family val="2"/>
      </rPr>
      <t xml:space="preserve">       </t>
    </r>
    <r>
      <rPr>
        <sz val="12"/>
        <rFont val="Arial"/>
        <family val="2"/>
      </rPr>
      <t xml:space="preserve">Do </t>
    </r>
    <r>
      <rPr>
        <b/>
        <sz val="12"/>
        <rFont val="Arial"/>
        <family val="2"/>
      </rPr>
      <t>save regularly</t>
    </r>
    <r>
      <rPr>
        <sz val="12"/>
        <rFont val="Arial"/>
        <family val="2"/>
      </rPr>
      <t xml:space="preserve"> before running macros.</t>
    </r>
  </si>
  <si>
    <r>
      <t>·</t>
    </r>
    <r>
      <rPr>
        <sz val="7"/>
        <rFont val="Arial"/>
        <family val="2"/>
      </rPr>
      <t xml:space="preserve">       </t>
    </r>
    <r>
      <rPr>
        <sz val="12"/>
        <rFont val="Arial"/>
        <family val="2"/>
      </rPr>
      <t xml:space="preserve">Don’t </t>
    </r>
    <r>
      <rPr>
        <b/>
        <sz val="12"/>
        <rFont val="Arial"/>
        <family val="2"/>
      </rPr>
      <t>copy/paste entire sheets</t>
    </r>
    <r>
      <rPr>
        <sz val="12"/>
        <rFont val="Arial"/>
        <family val="2"/>
      </rPr>
      <t xml:space="preserve"> — this may break references.</t>
    </r>
  </si>
  <si>
    <r>
      <t>·</t>
    </r>
    <r>
      <rPr>
        <sz val="7"/>
        <rFont val="Arial"/>
        <family val="2"/>
      </rPr>
      <t xml:space="preserve">       </t>
    </r>
    <r>
      <rPr>
        <sz val="12"/>
        <rFont val="Arial"/>
        <family val="2"/>
      </rPr>
      <t xml:space="preserve">Don’t </t>
    </r>
    <r>
      <rPr>
        <b/>
        <sz val="12"/>
        <rFont val="Arial"/>
        <family val="2"/>
      </rPr>
      <t>disable macros</t>
    </r>
    <r>
      <rPr>
        <sz val="12"/>
        <rFont val="Arial"/>
        <family val="2"/>
      </rPr>
      <t xml:space="preserve"> — the system won’t function.</t>
    </r>
  </si>
  <si>
    <r>
      <t>7.</t>
    </r>
    <r>
      <rPr>
        <b/>
        <sz val="7"/>
        <rFont val="Arial"/>
        <family val="2"/>
      </rPr>
      <t xml:space="preserve">     </t>
    </r>
    <r>
      <rPr>
        <b/>
        <sz val="12"/>
        <rFont val="Arial"/>
        <family val="2"/>
      </rPr>
      <t>If Something Breaks</t>
    </r>
  </si>
  <si>
    <r>
      <t>·</t>
    </r>
    <r>
      <rPr>
        <sz val="7"/>
        <rFont val="Arial"/>
        <family val="2"/>
      </rPr>
      <t xml:space="preserve">       </t>
    </r>
    <r>
      <rPr>
        <sz val="12"/>
        <rFont val="Arial"/>
        <family val="2"/>
      </rPr>
      <t>If a formula gives unexpected results:</t>
    </r>
  </si>
  <si>
    <r>
      <t>1.</t>
    </r>
    <r>
      <rPr>
        <sz val="7"/>
        <rFont val="Arial"/>
        <family val="2"/>
      </rPr>
      <t xml:space="preserve">     </t>
    </r>
    <r>
      <rPr>
        <sz val="12"/>
        <rFont val="Arial"/>
        <family val="2"/>
      </rPr>
      <t>Check that all operators (+, −, *, ÷) are used correctly.</t>
    </r>
  </si>
  <si>
    <r>
      <t>2.</t>
    </r>
    <r>
      <rPr>
        <sz val="7"/>
        <rFont val="Arial"/>
        <family val="2"/>
      </rPr>
      <t xml:space="preserve">     </t>
    </r>
    <r>
      <rPr>
        <sz val="12"/>
        <rFont val="Arial"/>
        <family val="2"/>
      </rPr>
      <t>Make sure numbers are not directly glued to variables (add *).</t>
    </r>
  </si>
  <si>
    <t>If lease conditions and contract precedent requirements in upcoming schemes are not completed in a timely manner there is a risk that site possession by developers will be delayed, leading to extended security and holding costs that place significant pressure on the programme budget.</t>
  </si>
  <si>
    <t>Develop clear, site specific programme that sequence all lease and contract precedent requirements; actively monitor progress against these programmes; account for site security and holding costs within financial forecasts. Escalate slippage early to ensure budget pressures are identified and addressed before they impact overall programme viability.</t>
  </si>
  <si>
    <t>Last updated: 19 January 2026 (SW)</t>
  </si>
  <si>
    <t>There is no longer a dedicated rehousing team to support estate renewal projects. This has created a gap, which is impacting our ability to achieve vacant possession.</t>
  </si>
  <si>
    <t>Flaxyard
Folajimi Apartments</t>
  </si>
  <si>
    <t xml:space="preserve"> - Allocate additional resources to support the aftercare team
- Establish an approach to aftercare during the defects period and handover to mainstream council services at the end of the DLP
- Continue stakeholder engagement with teams across the council in advance of starting the future programme - to establish parameters around service charges, 'segregated' spaces in mixed tenure developments, ongoing maintenance (particularly of new green technology) etc.
- Implement the new sales and marketing strategy, which incorporates an approach to the management of shared ownership homes in partnership with the council's home ownership team.</t>
  </si>
  <si>
    <t>Poor quality scheme reporting data resulting in information reported to internal and external stakeholders being incorrect, results in reputational damage and inability to effectively manage the councils cost flow, resource requirements and Corporate Plan objectives</t>
  </si>
  <si>
    <t>Extended void periods post-handover is leading to loss of rental and Council Tax income, increased expenditure on security and legionella testing, and potential deterioration of properties. There is also a heightened risk of squatting or break-ins, which further impacts the council’s reputation and finances.</t>
  </si>
  <si>
    <t>Not following the lengthy and complicated leaseholder buyback process causes delays to achieving vacant possession, resulting in damage to the council's reputation, and in extreme cases delays and disruption to major estate renewal projects, leading to very high costs.</t>
  </si>
  <si>
    <t>Resource pressure within Building Control causes significant delays to scheme completion that incur financial costs to the council and require additional management measures to be put in place pending occupation.</t>
  </si>
  <si>
    <t xml:space="preserve"> - An external consultantcy company has been appointed to review the issues at Tenda Road
- Consider changing ERs, or requirement to use ERs, for future programme to allow contractors to not use Southwark Building Control (not applicable to high rises as they will go to regulatory authority, not BC)
 - A Building Control tracker has been reinstated to track issues and Zoe Davies is meeting with Juliet Seymour monthly to monitor ongoing and new issues</t>
  </si>
  <si>
    <t>As funds are diverted away from the new homes programme the council needs to adopt alternative approaches to generating income into the programme in order to deliver new affordable homes.</t>
  </si>
  <si>
    <t>Delays to utilities works are considered to be 'relevant events' under our contracts and as such are valid reasons for extension of time submissions.When these works are not carried out in a timely fashion by the stutory undertakers there are invariably delays to project delivery resulting in financial and reputational damage to the overall programme.</t>
  </si>
  <si>
    <t xml:space="preserve">Requests for extensions of time and financial penalties from contractors lead to project delays, increased costs, and strained contractual relationships, impacting the council's operations and public trust.
</t>
  </si>
  <si>
    <t>There is currently no established guidance in the council that details key contacts and the process that is needed to set up PIN numbers and information for secure information boxes (SIBs), which are a requirement for buildings over 11 metres or 5 storeys. This means that we are unable to advise contractors on the details to register and order these SIBs, which causes a delay to handover, and associated costs related to that.</t>
  </si>
  <si>
    <t xml:space="preserve">Balancing the council's housing tenure mix commitments, and satifying the GLA requirements, with making schemes viable and attractive for developers, is complex and challenging.
</t>
  </si>
  <si>
    <t>Any delays to the extension of SELCHP will have significant time and cost implications for the Tustin and Ledbury schemes (and also potentially Sceaux Gardens). Further delays will escalate costs for temporary boilers and potentially lead to delays in completing S278 works.</t>
  </si>
  <si>
    <t>Not having a strong after-sales and long term management strategy for shared ownership and private sales properties means that homes won't sell easily and that homeowner satifaction will be low, resulting in ongoing complaints and long-term reputational damage to the council.</t>
  </si>
  <si>
    <t>If we are unable to revive our paused schemes, or take new schemes forward at pace, due to our limited funding opportunities we will not be able to meet our targets.</t>
  </si>
  <si>
    <t>As practical completion dates continue to shift on sites with properties for sale, buyers may withdraw or incur additional costs, affecting our sales pipeline and revenue forecast.</t>
  </si>
  <si>
    <t>Any delays in starting the DA package sites will have a significant impact on programme delivery and costs.</t>
  </si>
  <si>
    <t>Multiple workstreams in our current delivery programme continue to show orange/red progress, causing programme slippage and impacting timelines and costs.</t>
  </si>
  <si>
    <t xml:space="preserve"> - Additional measures implemented to restrict lone working where there are high levels of anti-social behaviour and serious criminal activity (currently on the Aylesbury Estate)
 - Lone working guidance and risk assessment to be refreshed annually and re-issued to teams and discussed in team meetings.
 -  Staff within Southwark Construction have been fully informed of the risks and controls necessary to keep safe while working alone
- Lone working devices are available to the team
</t>
  </si>
  <si>
    <t>There is a lack of consistency when collating and storing maintenance and components data, warranties, True Compliance data etc. for schemes in the team</t>
  </si>
  <si>
    <t>Cator Street
Flaxyard</t>
  </si>
  <si>
    <t>The volume and complexity of defects on several schemes is causing significant dissatifaction among affected residents, councillors and internal stakeholders in the repairs &amp; maintenance teams. It is also placing considerable pressure on the aftercare team.</t>
  </si>
  <si>
    <t>Aftersales strategy in development.
· Expedite sales of these properties, pre-handover where possible
· Looking at options to appoint works contractor to manage defects on SO properties (occupied after end of defects) for fixed period to help facilitate sales and positive customer experience.
- Build capacity for regular checks in void properties for leaks etc. 
- ensure robust end of defects inspections are carried out on void properties.</t>
  </si>
  <si>
    <t>Strategic Lead for Aftercare appointed.
Scope the potential aftercare services that can/will be managed within the Southwark Construction team.
Confirm the Home Ownership offer for shared ownership residents.</t>
  </si>
  <si>
    <t>Last updated: 21 January 2026 (SW)</t>
  </si>
  <si>
    <t>22Jan26: Added to lessons learnt and closed.</t>
  </si>
  <si>
    <t>Tenda Road
Penry Street</t>
  </si>
  <si>
    <t>KRI Status Selection</t>
  </si>
  <si>
    <t>(Budget Control*30% + Cost Management*30% + Funding Security*20% + Revenue Performance*15% + Market Risk*5%) ÷ 5</t>
  </si>
  <si>
    <t>(Staff Capacity*20% + Skills Availability*25% + Key Personnel*20% + Specialist Resources*15% + Recruitment*20%) ÷ 5</t>
  </si>
  <si>
    <t>(Building Control Performance*25% + Fire Safety*25% + BSA Gateways*20% + Safety Systems*20% + Regulatory Adherence*10%) ÷ 5</t>
  </si>
  <si>
    <t>(Schedule Performance*30% + Quality*25% + Contractor Management*20% + Pipeline Health*15% + Handover Success*10%) ÷ 5</t>
  </si>
  <si>
    <t>(Corporate Plan Alignment*30% + Housing Targets*25% + Policy Response*20% + Estate Renewal*15% + Political Support*10%) ÷ 5</t>
  </si>
  <si>
    <t>(Design Quality*35% + Infrastructure Coordination*30% + Data Management*15% + Utilities Integration*10% + Systems*10%) ÷ 5</t>
  </si>
  <si>
    <t>(Resident Satisfaction*30% + Community Relations*25% + Communication*20% + Political Confidence*15% + Trust*10%) ÷ 5</t>
  </si>
  <si>
    <t>(Net Zero Progress*30% + Carbon Management*25% + Energy Strategy*20% + Environmental Compliance*15% + Climate Resilience*10%) ÷ 5</t>
  </si>
  <si>
    <t>(Employment*35% + Apprenticeships*25% + Local Procurement*20% + Community Investment*10% + Skills Development*10%) ÷ 5</t>
  </si>
  <si>
    <t>KPI_100</t>
  </si>
  <si>
    <t>Programme Housing Delivery Delay Cost</t>
  </si>
  <si>
    <t>Budget variance due to delivery delays</t>
  </si>
  <si>
    <t>((Actual Cost - Planned Cost) ÷ Planned Cost)</t>
  </si>
  <si>
    <t>Measures the percentage increase in program costs specifically attributed to project delays and associated penalties.</t>
  </si>
  <si>
    <t>2-5%</t>
  </si>
  <si>
    <t>To monitor and minimize financial leakage caused by poor schedule management and contractor delays.</t>
  </si>
  <si>
    <t>Input A: 105000 (Actual),
 Input B: 100000 (Planned)</t>
  </si>
  <si>
    <t>12.23%</t>
  </si>
  <si>
    <t>47.77 % below threshold</t>
  </si>
  <si>
    <t>12.83%</t>
  </si>
  <si>
    <t>47.17 % below threshold</t>
  </si>
  <si>
    <t>9.75%</t>
  </si>
  <si>
    <t>50.25 % below threshold</t>
  </si>
  <si>
    <t>15.16%</t>
  </si>
  <si>
    <t>39.84 % below threshold</t>
  </si>
  <si>
    <t>13.76%</t>
  </si>
  <si>
    <t>46.24 % below threshold</t>
  </si>
  <si>
    <t>12.17%</t>
  </si>
  <si>
    <t>47.83 % below threshold</t>
  </si>
  <si>
    <t>16.75%</t>
  </si>
  <si>
    <t>43.25 % below threshold</t>
  </si>
  <si>
    <t>12.51%</t>
  </si>
  <si>
    <t>47.49 % below threshold</t>
  </si>
  <si>
    <t>9.75% Of delivery execution risk</t>
  </si>
  <si>
    <t>12.17% Of strategic misalignment risk</t>
  </si>
  <si>
    <t>15.16% Of financial risk exposure</t>
  </si>
  <si>
    <t>12.51% Of technical integration risk</t>
  </si>
  <si>
    <t>13.76% Of stakeholder confidence risk</t>
  </si>
  <si>
    <t>12.83% Of resource availability risk</t>
  </si>
  <si>
    <t>12.23% Of regulatory compliance risk</t>
  </si>
  <si>
    <t>16.75% Of community engagement risk</t>
  </si>
  <si>
    <t>Total Risks</t>
  </si>
  <si>
    <t>High Risks</t>
  </si>
  <si>
    <t>% Projects</t>
  </si>
  <si>
    <t>Escalation</t>
  </si>
  <si>
    <t>🔴</t>
  </si>
  <si>
    <t>🟠</t>
  </si>
  <si>
    <t>Monitor</t>
  </si>
  <si>
    <t>Residual Exposure (£)</t>
  </si>
  <si>
    <t>Risk Reduction %</t>
  </si>
  <si>
    <t>H&amp;S Lead</t>
  </si>
  <si>
    <t>£3.2M</t>
  </si>
  <si>
    <t>Programme Dir</t>
  </si>
  <si>
    <t>£4.5M</t>
  </si>
  <si>
    <t>Commercial Lead</t>
  </si>
  <si>
    <t>£2.4M</t>
  </si>
  <si>
    <t>Mr A</t>
  </si>
  <si>
    <t>Mr B</t>
  </si>
  <si>
    <t>Mr C</t>
  </si>
  <si>
    <t>Average Risk Age (Days)</t>
  </si>
  <si>
    <t xml:space="preserve"> Overdue</t>
  </si>
  <si>
    <t xml:space="preserve"> % Overdue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</si>
</sst>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Red]\-&quot;£&quot;#,##0"/>
    <numFmt numFmtId="164" formatCode="#"/>
    <numFmt numFmtId="165" formatCode="dd/mm/yyyy;@"/>
    <numFmt numFmtId="166" formatCode="[$£-809]#,##0.00"/>
    <numFmt numFmtId="167" formatCode="_-[$£-809]* #,##0_-;\-[$£-809]* #,##0_-;_-[$£-809]* &quot;-&quot;??_-;_-@_-"/>
  </numFmts>
  <fonts count="144">
    <font>
      <sz val="10"/>
      <name val="Arial"/>
    </font>
    <font>
      <sz val="12"/>
      <color theme="1"/>
      <name val="Arial"/>
      <family val="2"/>
    </font>
    <font>
      <sz val="10"/>
      <name val="Arial"/>
      <family val="2"/>
    </font>
    <font>
      <sz val="8"/>
      <name val="Arial"/>
      <family val="2"/>
    </font>
    <font>
      <sz val="9"/>
      <color indexed="81"/>
      <name val="Tahoma"/>
      <family val="2"/>
    </font>
    <font>
      <b/>
      <sz val="9"/>
      <color indexed="81"/>
      <name val="Tahoma"/>
      <family val="2"/>
    </font>
    <font>
      <i/>
      <sz val="8"/>
      <color theme="0"/>
      <name val="Arial Narrow"/>
      <family val="2"/>
    </font>
    <font>
      <sz val="11"/>
      <color theme="1"/>
      <name val="Arial Narrow"/>
      <family val="2"/>
    </font>
    <font>
      <b/>
      <sz val="8"/>
      <name val="Arial"/>
      <family val="2"/>
    </font>
    <font>
      <b/>
      <sz val="8"/>
      <color indexed="9"/>
      <name val="Arial"/>
      <family val="2"/>
    </font>
    <font>
      <sz val="16"/>
      <name val="Arial"/>
      <family val="2"/>
    </font>
    <font>
      <b/>
      <sz val="10"/>
      <name val="Arial"/>
      <family val="2"/>
    </font>
    <font>
      <b/>
      <sz val="11"/>
      <color theme="0"/>
      <name val="Arial"/>
      <family val="2"/>
    </font>
    <font>
      <sz val="11"/>
      <name val="Arial"/>
      <family val="2"/>
    </font>
    <font>
      <i/>
      <sz val="8"/>
      <color theme="0"/>
      <name val="Arial"/>
      <family val="2"/>
    </font>
    <font>
      <sz val="8"/>
      <color theme="0"/>
      <name val="Arial"/>
      <family val="2"/>
    </font>
    <font>
      <sz val="11"/>
      <color theme="1"/>
      <name val="Arial"/>
      <family val="2"/>
    </font>
    <font>
      <i/>
      <sz val="8"/>
      <color theme="1"/>
      <name val="Arial"/>
      <family val="2"/>
    </font>
    <font>
      <b/>
      <sz val="16"/>
      <name val="Arial"/>
      <family val="2"/>
    </font>
    <font>
      <sz val="12"/>
      <name val="Arial"/>
      <family val="2"/>
    </font>
    <font>
      <sz val="11"/>
      <color rgb="FF242424"/>
      <name val="Arial"/>
      <family val="2"/>
    </font>
    <font>
      <sz val="12"/>
      <color rgb="FFFF0000"/>
      <name val="Arial"/>
      <family val="2"/>
    </font>
    <font>
      <b/>
      <u/>
      <sz val="10"/>
      <color theme="0"/>
      <name val="Arial"/>
      <family val="2"/>
    </font>
    <font>
      <u/>
      <sz val="8"/>
      <name val="Arial"/>
      <family val="2"/>
    </font>
    <font>
      <b/>
      <sz val="10"/>
      <color theme="0"/>
      <name val="Arial"/>
      <family val="2"/>
    </font>
    <font>
      <b/>
      <sz val="12"/>
      <color theme="0"/>
      <name val="Arial"/>
      <family val="2"/>
    </font>
    <font>
      <b/>
      <u/>
      <sz val="10"/>
      <name val="Arial"/>
      <family val="2"/>
    </font>
    <font>
      <b/>
      <sz val="11"/>
      <name val="Arial"/>
      <family val="2"/>
    </font>
    <font>
      <b/>
      <sz val="11"/>
      <color theme="1"/>
      <name val="Arial"/>
      <family val="2"/>
    </font>
    <font>
      <sz val="12"/>
      <color rgb="FF3F3F76"/>
      <name val="Arial"/>
      <family val="2"/>
    </font>
    <font>
      <b/>
      <sz val="11"/>
      <color rgb="FF000000"/>
      <name val="Arial"/>
      <family val="2"/>
    </font>
    <font>
      <sz val="11"/>
      <color rgb="FF000000"/>
      <name val="Arial"/>
      <family val="2"/>
    </font>
    <font>
      <sz val="8"/>
      <name val="Symbol"/>
      <family val="1"/>
      <charset val="2"/>
    </font>
    <font>
      <b/>
      <sz val="14"/>
      <name val="Arial"/>
      <family val="2"/>
    </font>
    <font>
      <sz val="14"/>
      <name val="Arial"/>
      <family val="2"/>
    </font>
    <font>
      <b/>
      <sz val="18"/>
      <name val="Arial"/>
      <family val="2"/>
    </font>
    <font>
      <b/>
      <sz val="13.5"/>
      <name val="Arial"/>
      <family val="2"/>
    </font>
    <font>
      <b/>
      <sz val="10"/>
      <name val="Arial"/>
      <family val="2"/>
    </font>
    <font>
      <sz val="10"/>
      <name val="Arial Unicode MS"/>
    </font>
    <font>
      <b/>
      <sz val="18"/>
      <name val="Arial"/>
      <family val="2"/>
    </font>
    <font>
      <b/>
      <sz val="18"/>
      <color rgb="FF667EEA"/>
      <name val="Segoe UI"/>
      <family val="2"/>
    </font>
    <font>
      <sz val="10"/>
      <name val="Segoe UI"/>
      <family val="2"/>
    </font>
    <font>
      <b/>
      <sz val="8"/>
      <color rgb="FFFFFFFF"/>
      <name val="Segoe UI"/>
      <family val="2"/>
    </font>
    <font>
      <sz val="9"/>
      <name val="Courier New"/>
      <family val="3"/>
    </font>
    <font>
      <b/>
      <sz val="10"/>
      <color rgb="FF667EEA"/>
      <name val="Segoe UI"/>
      <family val="2"/>
    </font>
    <font>
      <sz val="8.5"/>
      <color rgb="FF666666"/>
      <name val="Segoe UI"/>
      <family val="2"/>
    </font>
    <font>
      <b/>
      <sz val="10"/>
      <color rgb="FF856404"/>
      <name val="Segoe UI"/>
      <family val="2"/>
    </font>
    <font>
      <b/>
      <sz val="10"/>
      <color rgb="FF721C24"/>
      <name val="Segoe UI"/>
      <family val="2"/>
    </font>
    <font>
      <b/>
      <sz val="10"/>
      <color rgb="FF155724"/>
      <name val="Segoe UI"/>
      <family val="2"/>
    </font>
    <font>
      <b/>
      <sz val="10"/>
      <name val="Segoe UI"/>
      <family val="2"/>
    </font>
    <font>
      <sz val="25"/>
      <name val="Segoe UI"/>
      <family val="2"/>
    </font>
    <font>
      <sz val="9.5"/>
      <name val="Segoe UI"/>
      <family val="2"/>
    </font>
    <font>
      <sz val="12"/>
      <name val="Aptos Narrow"/>
      <family val="2"/>
    </font>
    <font>
      <b/>
      <sz val="20"/>
      <name val="Arial"/>
      <family val="2"/>
    </font>
    <font>
      <b/>
      <sz val="11"/>
      <color rgb="FFFFFFFF"/>
      <name val="Segoe UI"/>
      <family val="2"/>
    </font>
    <font>
      <sz val="11"/>
      <name val="Segoe UI"/>
      <family val="2"/>
    </font>
    <font>
      <b/>
      <sz val="11"/>
      <color rgb="FF667EEA"/>
      <name val="Segoe UI"/>
      <family val="2"/>
    </font>
    <font>
      <sz val="11"/>
      <color rgb="FF666666"/>
      <name val="Segoe UI"/>
      <family val="2"/>
    </font>
    <font>
      <b/>
      <sz val="11"/>
      <color rgb="FF856404"/>
      <name val="Segoe UI"/>
      <family val="2"/>
    </font>
    <font>
      <sz val="11"/>
      <color rgb="FF333333"/>
      <name val="Segoe UI"/>
      <family val="2"/>
    </font>
    <font>
      <sz val="11"/>
      <color rgb="FF333333"/>
      <name val="Courier New"/>
      <family val="3"/>
    </font>
    <font>
      <b/>
      <sz val="11"/>
      <color rgb="FFFFFFFF"/>
      <name val="Arial"/>
      <family val="2"/>
    </font>
    <font>
      <sz val="11"/>
      <color rgb="FF333333"/>
      <name val="Arial"/>
      <family val="2"/>
    </font>
    <font>
      <b/>
      <sz val="11"/>
      <color rgb="FF667EEA"/>
      <name val="Arial"/>
      <family val="2"/>
    </font>
    <font>
      <sz val="11"/>
      <color rgb="FF666666"/>
      <name val="Arial"/>
      <family val="2"/>
    </font>
    <font>
      <b/>
      <sz val="11"/>
      <color rgb="FF856404"/>
      <name val="Arial"/>
      <family val="2"/>
    </font>
    <font>
      <sz val="11"/>
      <name val="Arial"/>
      <family val="2"/>
    </font>
    <font>
      <b/>
      <sz val="11"/>
      <color rgb="FF721C24"/>
      <name val="Arial"/>
      <family val="2"/>
    </font>
    <font>
      <b/>
      <sz val="11"/>
      <color rgb="FF155724"/>
      <name val="Arial"/>
      <family val="2"/>
    </font>
    <font>
      <sz val="11"/>
      <color rgb="FFFFFFFF"/>
      <name val="Arial"/>
      <family val="2"/>
    </font>
    <font>
      <b/>
      <sz val="14"/>
      <color rgb="FF667EEA"/>
      <name val="Arial"/>
      <family val="2"/>
    </font>
    <font>
      <b/>
      <sz val="16"/>
      <color rgb="FF667EEA"/>
      <name val="Arial"/>
      <family val="2"/>
    </font>
    <font>
      <b/>
      <sz val="11"/>
      <color rgb="FF00B050"/>
      <name val="Arial"/>
      <family val="2"/>
    </font>
    <font>
      <b/>
      <sz val="11"/>
      <color rgb="FF92D050"/>
      <name val="Arial"/>
      <family val="2"/>
    </font>
    <font>
      <b/>
      <sz val="22"/>
      <color rgb="FF667EEA"/>
      <name val="Arial"/>
      <family val="2"/>
    </font>
    <font>
      <b/>
      <sz val="12"/>
      <name val="Arial"/>
      <family val="2"/>
    </font>
    <font>
      <b/>
      <sz val="13.5"/>
      <name val="Arial"/>
      <family val="2"/>
    </font>
    <font>
      <b/>
      <sz val="16"/>
      <color rgb="FFFFD700"/>
      <name val="Arial"/>
      <family val="2"/>
    </font>
    <font>
      <b/>
      <sz val="16"/>
      <color theme="0"/>
      <name val="Arial"/>
      <family val="2"/>
    </font>
    <font>
      <i/>
      <sz val="10"/>
      <name val="Arial"/>
      <family val="2"/>
    </font>
    <font>
      <b/>
      <sz val="20"/>
      <color rgb="FF667EEA"/>
      <name val="Arial"/>
      <family val="2"/>
    </font>
    <font>
      <sz val="11"/>
      <color theme="0"/>
      <name val="Arial"/>
      <family val="2"/>
    </font>
    <font>
      <sz val="10"/>
      <color theme="0"/>
      <name val="Arial"/>
      <family val="2"/>
    </font>
    <font>
      <b/>
      <sz val="13.5"/>
      <color theme="0"/>
      <name val="Arial"/>
      <family val="2"/>
    </font>
    <font>
      <b/>
      <sz val="24"/>
      <name val="Arial"/>
      <family val="2"/>
    </font>
    <font>
      <b/>
      <sz val="24"/>
      <color theme="0"/>
      <name val="Arial"/>
      <family val="2"/>
    </font>
    <font>
      <b/>
      <sz val="14"/>
      <color theme="0"/>
      <name val="Arial"/>
      <family val="2"/>
    </font>
    <font>
      <sz val="8"/>
      <color rgb="FF424242"/>
      <name val="Segoe UI"/>
      <family val="2"/>
    </font>
    <font>
      <sz val="8"/>
      <color rgb="FF424242"/>
      <name val="Segoe UI"/>
      <family val="2"/>
    </font>
    <font>
      <b/>
      <sz val="18"/>
      <color theme="0"/>
      <name val="Arial"/>
      <family val="2"/>
    </font>
    <font>
      <b/>
      <sz val="12"/>
      <color rgb="FFFFFFFF"/>
      <name val="Calibri"/>
      <family val="2"/>
    </font>
    <font>
      <b/>
      <sz val="12"/>
      <color rgb="FF375623"/>
      <name val="Calibri"/>
      <family val="2"/>
    </font>
    <font>
      <b/>
      <sz val="12"/>
      <color rgb="FF1F4E79"/>
      <name val="Calibri"/>
      <family val="2"/>
    </font>
    <font>
      <b/>
      <sz val="12"/>
      <color rgb="FF0066CC"/>
      <name val="Calibri"/>
      <family val="2"/>
    </font>
    <font>
      <b/>
      <sz val="12"/>
      <color rgb="FF000000"/>
      <name val="Calibri"/>
      <family val="2"/>
    </font>
    <font>
      <sz val="8"/>
      <name val="Arial"/>
      <family val="2"/>
    </font>
    <font>
      <b/>
      <sz val="10"/>
      <color theme="1"/>
      <name val="Arial"/>
      <family val="2"/>
    </font>
    <font>
      <sz val="10"/>
      <color theme="1"/>
      <name val="Arial"/>
      <family val="2"/>
    </font>
    <font>
      <b/>
      <sz val="12"/>
      <color theme="1"/>
      <name val="Arial"/>
      <family val="2"/>
    </font>
    <font>
      <b/>
      <sz val="14"/>
      <color rgb="FF856404"/>
      <name val="Arial"/>
      <family val="2"/>
    </font>
    <font>
      <sz val="12"/>
      <color rgb="FF000000"/>
      <name val="Calibri"/>
      <family val="2"/>
    </font>
    <font>
      <b/>
      <sz val="14"/>
      <color rgb="FF000000"/>
      <name val="Arial"/>
      <family val="2"/>
    </font>
    <font>
      <sz val="10"/>
      <color rgb="FF00873B"/>
      <name val="Arial"/>
      <family val="2"/>
    </font>
    <font>
      <sz val="18"/>
      <color theme="0"/>
      <name val="Arial"/>
      <family val="2"/>
    </font>
    <font>
      <b/>
      <sz val="26"/>
      <color rgb="FFFF0000"/>
      <name val="Arial"/>
      <family val="2"/>
    </font>
    <font>
      <b/>
      <sz val="18"/>
      <color theme="1"/>
      <name val="Arial"/>
      <family val="2"/>
    </font>
    <font>
      <b/>
      <sz val="48"/>
      <name val="Arial"/>
      <family val="2"/>
    </font>
    <font>
      <b/>
      <sz val="36"/>
      <name val="Arial"/>
      <family val="2"/>
    </font>
    <font>
      <b/>
      <sz val="72"/>
      <color theme="0"/>
      <name val="Arial"/>
      <family val="2"/>
    </font>
    <font>
      <b/>
      <sz val="72"/>
      <name val="Arial"/>
      <family val="2"/>
    </font>
    <font>
      <b/>
      <sz val="36"/>
      <color theme="0"/>
      <name val="Arial"/>
      <family val="2"/>
    </font>
    <font>
      <b/>
      <sz val="48"/>
      <color theme="0"/>
      <name val="Arial"/>
      <family val="2"/>
    </font>
    <font>
      <b/>
      <sz val="16"/>
      <color rgb="FF000000"/>
      <name val="Arial"/>
      <family val="2"/>
    </font>
    <font>
      <b/>
      <sz val="12"/>
      <color theme="0"/>
      <name val="Segoe UI Emoji"/>
      <family val="2"/>
    </font>
    <font>
      <sz val="14"/>
      <color rgb="FF000000"/>
      <name val="Arial"/>
      <family val="2"/>
    </font>
    <font>
      <b/>
      <sz val="12"/>
      <color rgb="FF000000"/>
      <name val="Arial"/>
      <family val="2"/>
    </font>
    <font>
      <b/>
      <sz val="12"/>
      <color rgb="FFFFFFFF"/>
      <name val="Arial"/>
      <family val="2"/>
    </font>
    <font>
      <sz val="11"/>
      <color rgb="FF0D0D0D"/>
      <name val="Arial"/>
      <family val="2"/>
    </font>
    <font>
      <b/>
      <i/>
      <sz val="8"/>
      <color theme="0"/>
      <name val="Arial Narrow"/>
      <family val="2"/>
    </font>
    <font>
      <sz val="10"/>
      <color rgb="FFFF0000"/>
      <name val="Arial"/>
      <family val="2"/>
    </font>
    <font>
      <sz val="11"/>
      <color rgb="FFFF0000"/>
      <name val="Arial"/>
      <family val="2"/>
    </font>
    <font>
      <sz val="36"/>
      <name val="Arial"/>
      <family val="2"/>
    </font>
    <font>
      <sz val="48"/>
      <name val="Arial"/>
      <family val="2"/>
    </font>
    <font>
      <sz val="36"/>
      <color theme="0"/>
      <name val="Arial"/>
      <family val="2"/>
    </font>
    <font>
      <sz val="11"/>
      <name val="Consolas"/>
      <family val="3"/>
    </font>
    <font>
      <b/>
      <sz val="36"/>
      <color theme="1"/>
      <name val="Arial"/>
      <family val="2"/>
    </font>
    <font>
      <b/>
      <sz val="60"/>
      <color theme="0"/>
      <name val="Arial"/>
      <family val="2"/>
    </font>
    <font>
      <b/>
      <sz val="72"/>
      <color rgb="FFFF0000"/>
      <name val="Arial"/>
      <family val="2"/>
    </font>
    <font>
      <b/>
      <sz val="18"/>
      <color rgb="FFFFFFFF"/>
      <name val="Arial"/>
      <family val="2"/>
    </font>
    <font>
      <sz val="16"/>
      <color theme="0"/>
      <name val="Arial"/>
      <family val="2"/>
    </font>
    <font>
      <b/>
      <sz val="24"/>
      <color theme="1"/>
      <name val="Arial"/>
      <family val="2"/>
    </font>
    <font>
      <sz val="10"/>
      <color theme="1"/>
      <name val="Arial Unicode MS"/>
    </font>
    <font>
      <b/>
      <sz val="16"/>
      <color rgb="FFFFFFFF"/>
      <name val="Arial"/>
      <family val="2"/>
    </font>
    <font>
      <b/>
      <sz val="11"/>
      <color theme="1"/>
      <name val="Calibri"/>
      <family val="2"/>
      <scheme val="minor"/>
    </font>
    <font>
      <b/>
      <sz val="22"/>
      <color theme="0"/>
      <name val="Arial"/>
      <family val="2"/>
    </font>
    <font>
      <b/>
      <sz val="7"/>
      <name val="Arial"/>
      <family val="2"/>
    </font>
    <font>
      <sz val="7"/>
      <name val="Arial"/>
      <family val="2"/>
    </font>
    <font>
      <u/>
      <sz val="12"/>
      <color rgb="FFEE0000"/>
      <name val="Arial"/>
      <family val="2"/>
    </font>
    <font>
      <sz val="12"/>
      <color rgb="FFEE0000"/>
      <name val="Arial"/>
      <family val="2"/>
    </font>
    <font>
      <u/>
      <sz val="12"/>
      <color rgb="FF4EA72E"/>
      <name val="Arial"/>
      <family val="2"/>
    </font>
    <font>
      <b/>
      <sz val="14"/>
      <color theme="1"/>
      <name val="Arial"/>
      <family val="2"/>
    </font>
    <font>
      <b/>
      <sz val="28"/>
      <color rgb="FFC00000"/>
      <name val="Arial"/>
      <family val="2"/>
    </font>
    <font>
      <sz val="10"/>
      <color rgb="FFC00000"/>
      <name val="Arial"/>
      <family val="2"/>
    </font>
    <font>
      <sz val="10"/>
      <color rgb="FFFFC000"/>
      <name val="Arial"/>
      <family val="2"/>
    </font>
  </fonts>
  <fills count="49">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F0"/>
        <bgColor indexed="64"/>
      </patternFill>
    </fill>
    <fill>
      <patternFill patternType="solid">
        <fgColor rgb="FF7030A0"/>
        <bgColor indexed="64"/>
      </patternFill>
    </fill>
    <fill>
      <patternFill patternType="solid">
        <fgColor rgb="FFFFC000"/>
        <bgColor indexed="64"/>
      </patternFill>
    </fill>
    <fill>
      <patternFill patternType="solid">
        <fgColor rgb="FFFF0000"/>
        <bgColor indexed="64"/>
      </patternFill>
    </fill>
    <fill>
      <patternFill patternType="solid">
        <fgColor rgb="FF00B050"/>
        <bgColor indexed="64"/>
      </patternFill>
    </fill>
    <fill>
      <patternFill patternType="solid">
        <fgColor rgb="FFD64DD2"/>
        <bgColor indexed="64"/>
      </patternFill>
    </fill>
    <fill>
      <patternFill patternType="solid">
        <fgColor rgb="FFFFFFFF"/>
        <bgColor indexed="64"/>
      </patternFill>
    </fill>
    <fill>
      <patternFill patternType="solid">
        <fgColor rgb="FFFFC000"/>
        <bgColor rgb="FF000000"/>
      </patternFill>
    </fill>
    <fill>
      <patternFill patternType="solid">
        <fgColor rgb="FFFF0000"/>
        <bgColor rgb="FF000000"/>
      </patternFill>
    </fill>
    <fill>
      <patternFill patternType="solid">
        <fgColor rgb="FFFFFF00"/>
        <bgColor rgb="FF000000"/>
      </patternFill>
    </fill>
    <fill>
      <patternFill patternType="solid">
        <fgColor rgb="FF92D050"/>
        <bgColor rgb="FF000000"/>
      </patternFill>
    </fill>
    <fill>
      <patternFill patternType="solid">
        <fgColor rgb="FF00B050"/>
        <bgColor rgb="FF000000"/>
      </patternFill>
    </fill>
    <fill>
      <patternFill patternType="solid">
        <fgColor rgb="FFFFCC99"/>
      </patternFill>
    </fill>
    <fill>
      <patternFill patternType="solid">
        <fgColor rgb="FFFFFFFF"/>
        <bgColor rgb="FF000000"/>
      </patternFill>
    </fill>
    <fill>
      <patternFill patternType="solid">
        <fgColor rgb="FF00873B"/>
        <bgColor indexed="64"/>
      </patternFill>
    </fill>
    <fill>
      <patternFill patternType="solid">
        <fgColor rgb="FFC9D963"/>
        <bgColor indexed="64"/>
      </patternFill>
    </fill>
    <fill>
      <patternFill patternType="solid">
        <fgColor rgb="FFC00000"/>
        <bgColor indexed="64"/>
      </patternFill>
    </fill>
    <fill>
      <patternFill patternType="solid">
        <fgColor rgb="FFF8F9FF"/>
        <bgColor indexed="64"/>
      </patternFill>
    </fill>
    <fill>
      <patternFill patternType="solid">
        <fgColor rgb="FFE8EAFF"/>
        <bgColor indexed="64"/>
      </patternFill>
    </fill>
    <fill>
      <patternFill patternType="solid">
        <fgColor theme="5"/>
        <bgColor indexed="64"/>
      </patternFill>
    </fill>
    <fill>
      <patternFill patternType="solid">
        <fgColor rgb="FFE2EFDA"/>
        <bgColor indexed="64"/>
      </patternFill>
    </fill>
    <fill>
      <patternFill patternType="solid">
        <fgColor rgb="FFDEEAF6"/>
        <bgColor indexed="64"/>
      </patternFill>
    </fill>
    <fill>
      <patternFill patternType="solid">
        <fgColor theme="4" tint="0.79998168889431442"/>
        <bgColor theme="4" tint="0.79998168889431442"/>
      </patternFill>
    </fill>
    <fill>
      <patternFill patternType="solid">
        <fgColor rgb="FFFFFF99"/>
        <bgColor indexed="64"/>
      </patternFill>
    </fill>
    <fill>
      <patternFill patternType="solid">
        <fgColor rgb="FFFFFFCC"/>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FFBF00"/>
        <bgColor indexed="64"/>
      </patternFill>
    </fill>
    <fill>
      <patternFill patternType="solid">
        <fgColor theme="6"/>
        <bgColor indexed="64"/>
      </patternFill>
    </fill>
    <fill>
      <patternFill patternType="solid">
        <fgColor rgb="FF000000"/>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rgb="FFFFCCFF"/>
        <bgColor indexed="64"/>
      </patternFill>
    </fill>
    <fill>
      <patternFill patternType="solid">
        <fgColor rgb="FFCCFFCC"/>
        <bgColor indexed="64"/>
      </patternFill>
    </fill>
    <fill>
      <patternFill patternType="solid">
        <fgColor rgb="FFFFCCCC"/>
        <bgColor indexed="64"/>
      </patternFill>
    </fill>
    <fill>
      <patternFill patternType="solid">
        <fgColor theme="3" tint="0.59999389629810485"/>
        <bgColor indexed="64"/>
      </patternFill>
    </fill>
    <fill>
      <patternFill patternType="solid">
        <fgColor rgb="FFFF6600"/>
        <bgColor indexed="64"/>
      </patternFill>
    </fill>
    <fill>
      <patternFill patternType="solid">
        <fgColor theme="0"/>
        <bgColor rgb="FF000000"/>
      </patternFill>
    </fill>
    <fill>
      <patternFill patternType="solid">
        <fgColor theme="5"/>
        <bgColor theme="5"/>
      </patternFill>
    </fill>
  </fills>
  <borders count="7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right style="thin">
        <color indexed="64"/>
      </right>
      <top/>
      <bottom/>
      <diagonal/>
    </border>
    <border>
      <left style="thin">
        <color indexed="64"/>
      </left>
      <right style="medium">
        <color indexed="64"/>
      </right>
      <top/>
      <bottom/>
      <diagonal/>
    </border>
    <border>
      <left/>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diagonal/>
    </border>
    <border>
      <left/>
      <right style="thin">
        <color indexed="64"/>
      </right>
      <top style="medium">
        <color indexed="64"/>
      </top>
      <bottom/>
      <diagonal/>
    </border>
    <border>
      <left style="thin">
        <color rgb="FF7F7F7F"/>
      </left>
      <right style="thin">
        <color rgb="FF7F7F7F"/>
      </right>
      <top style="thin">
        <color rgb="FF7F7F7F"/>
      </top>
      <bottom style="thin">
        <color rgb="FF7F7F7F"/>
      </bottom>
      <diagonal/>
    </border>
    <border>
      <left style="medium">
        <color rgb="FFE6E6E6"/>
      </left>
      <right style="medium">
        <color rgb="FFE6E6E6"/>
      </right>
      <top style="medium">
        <color rgb="FFE6E6E6"/>
      </top>
      <bottom style="medium">
        <color rgb="FFE6E6E6"/>
      </bottom>
      <diagonal/>
    </border>
    <border>
      <left/>
      <right style="medium">
        <color rgb="FFE6E6E6"/>
      </right>
      <top style="medium">
        <color rgb="FFE6E6E6"/>
      </top>
      <bottom style="medium">
        <color rgb="FFE6E6E6"/>
      </bottom>
      <diagonal/>
    </border>
    <border>
      <left style="medium">
        <color rgb="FFE6E6E6"/>
      </left>
      <right style="medium">
        <color rgb="FFE6E6E6"/>
      </right>
      <top/>
      <bottom style="medium">
        <color rgb="FFE6E6E6"/>
      </bottom>
      <diagonal/>
    </border>
    <border>
      <left/>
      <right style="medium">
        <color rgb="FFE6E6E6"/>
      </right>
      <top/>
      <bottom style="medium">
        <color rgb="FFE6E6E6"/>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top/>
      <bottom style="thin">
        <color indexed="64"/>
      </bottom>
      <diagonal/>
    </border>
    <border>
      <left/>
      <right style="medium">
        <color indexed="64"/>
      </right>
      <top/>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ck">
        <color indexed="64"/>
      </top>
      <bottom/>
      <diagonal/>
    </border>
    <border>
      <left/>
      <right style="thick">
        <color indexed="64"/>
      </right>
      <top style="thick">
        <color indexed="64"/>
      </top>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thick">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s>
  <cellStyleXfs count="7">
    <xf numFmtId="0" fontId="0" fillId="0" borderId="0">
      <alignment vertical="top" wrapText="1"/>
    </xf>
    <xf numFmtId="0" fontId="2" fillId="0" borderId="0"/>
    <xf numFmtId="0" fontId="1" fillId="0" borderId="0"/>
    <xf numFmtId="0" fontId="29" fillId="20" borderId="37" applyNumberFormat="0" applyAlignment="0" applyProtection="0"/>
    <xf numFmtId="0" fontId="2" fillId="0" borderId="0"/>
    <xf numFmtId="0" fontId="2" fillId="0" borderId="0">
      <alignment vertical="top" wrapText="1"/>
    </xf>
    <xf numFmtId="9" fontId="2" fillId="0" borderId="0" applyFont="0" applyFill="0" applyBorder="0" applyAlignment="0" applyProtection="0"/>
  </cellStyleXfs>
  <cellXfs count="979">
    <xf numFmtId="0" fontId="0" fillId="0" borderId="0" xfId="0">
      <alignment vertical="top" wrapText="1"/>
    </xf>
    <xf numFmtId="0" fontId="11" fillId="0" borderId="0" xfId="0" applyFont="1">
      <alignment vertical="top" wrapText="1"/>
    </xf>
    <xf numFmtId="0" fontId="2" fillId="0" borderId="0" xfId="0" applyFont="1">
      <alignment vertical="top" wrapText="1"/>
    </xf>
    <xf numFmtId="0" fontId="14" fillId="7" borderId="16" xfId="1" applyFont="1" applyFill="1" applyBorder="1" applyAlignment="1" applyProtection="1">
      <alignment horizontal="center" vertical="top" wrapText="1"/>
      <protection locked="0"/>
    </xf>
    <xf numFmtId="0" fontId="16" fillId="0" borderId="1" xfId="2" applyFont="1" applyBorder="1"/>
    <xf numFmtId="0" fontId="16" fillId="0" borderId="0" xfId="2" applyFont="1"/>
    <xf numFmtId="0" fontId="13" fillId="0" borderId="0" xfId="0" applyFont="1">
      <alignment vertical="top" wrapText="1"/>
    </xf>
    <xf numFmtId="0" fontId="13" fillId="0" borderId="6" xfId="0" applyFont="1" applyBorder="1" applyAlignment="1">
      <alignment horizontal="left" vertical="top" wrapText="1"/>
    </xf>
    <xf numFmtId="0" fontId="13" fillId="0" borderId="1" xfId="0" applyFont="1" applyBorder="1">
      <alignment vertical="top" wrapText="1"/>
    </xf>
    <xf numFmtId="0" fontId="13" fillId="0" borderId="18" xfId="0" applyFont="1" applyBorder="1">
      <alignment vertical="top" wrapText="1"/>
    </xf>
    <xf numFmtId="0" fontId="15" fillId="7" borderId="5" xfId="0" applyFont="1" applyFill="1" applyBorder="1">
      <alignment vertical="top" wrapText="1"/>
    </xf>
    <xf numFmtId="0" fontId="15" fillId="7" borderId="17" xfId="0" applyFont="1" applyFill="1" applyBorder="1">
      <alignment vertical="top" wrapText="1"/>
    </xf>
    <xf numFmtId="0" fontId="14" fillId="7" borderId="1" xfId="2" applyFont="1" applyFill="1" applyBorder="1" applyAlignment="1">
      <alignment horizontal="center" vertical="top"/>
    </xf>
    <xf numFmtId="0" fontId="17" fillId="0" borderId="0" xfId="2" applyFont="1" applyAlignment="1">
      <alignment horizontal="center" vertical="top"/>
    </xf>
    <xf numFmtId="0" fontId="14" fillId="7" borderId="1" xfId="2" applyFont="1" applyFill="1" applyBorder="1" applyAlignment="1">
      <alignment horizontal="center" vertical="top" wrapText="1"/>
    </xf>
    <xf numFmtId="0" fontId="17" fillId="0" borderId="0" xfId="2" applyFont="1" applyAlignment="1">
      <alignment horizontal="center" vertical="center" wrapText="1"/>
    </xf>
    <xf numFmtId="0" fontId="14" fillId="7" borderId="1" xfId="1" applyFont="1" applyFill="1" applyBorder="1" applyAlignment="1" applyProtection="1">
      <alignment horizontal="center" vertical="center" wrapText="1"/>
      <protection locked="0"/>
    </xf>
    <xf numFmtId="0" fontId="13" fillId="3" borderId="1" xfId="1" applyFont="1" applyFill="1" applyBorder="1" applyAlignment="1" applyProtection="1">
      <alignment horizontal="center" vertical="top" wrapText="1"/>
      <protection locked="0"/>
    </xf>
    <xf numFmtId="0" fontId="13" fillId="3" borderId="1" xfId="1" applyFont="1" applyFill="1" applyBorder="1" applyAlignment="1" applyProtection="1">
      <alignment horizontal="left" vertical="top" wrapText="1"/>
      <protection locked="0"/>
    </xf>
    <xf numFmtId="0" fontId="13" fillId="3" borderId="1" xfId="1" applyFont="1" applyFill="1" applyBorder="1" applyAlignment="1" applyProtection="1">
      <alignment horizontal="center" vertical="center" wrapText="1"/>
      <protection locked="0"/>
    </xf>
    <xf numFmtId="0" fontId="13" fillId="3" borderId="1" xfId="2" applyFont="1" applyFill="1" applyBorder="1" applyAlignment="1">
      <alignment vertical="top" wrapText="1"/>
    </xf>
    <xf numFmtId="0" fontId="14" fillId="7" borderId="1" xfId="2" applyFont="1" applyFill="1" applyBorder="1" applyAlignment="1">
      <alignment horizontal="center" vertical="center" wrapText="1"/>
    </xf>
    <xf numFmtId="0" fontId="15" fillId="0" borderId="0" xfId="0" applyFont="1">
      <alignment vertical="top" wrapText="1"/>
    </xf>
    <xf numFmtId="49" fontId="8" fillId="0" borderId="13" xfId="0" applyNumberFormat="1" applyFont="1" applyBorder="1" applyAlignment="1">
      <alignment horizontal="center" vertical="center" wrapText="1"/>
    </xf>
    <xf numFmtId="164" fontId="8" fillId="2" borderId="10" xfId="0" applyNumberFormat="1" applyFont="1" applyFill="1" applyBorder="1" applyAlignment="1">
      <alignment horizontal="center" vertical="center" wrapText="1"/>
    </xf>
    <xf numFmtId="0" fontId="8" fillId="0" borderId="10" xfId="0" applyFont="1" applyBorder="1" applyAlignment="1">
      <alignment horizontal="center" vertical="center" wrapText="1"/>
    </xf>
    <xf numFmtId="0" fontId="8" fillId="0" borderId="24" xfId="0" applyFont="1" applyBorder="1" applyAlignment="1">
      <alignment horizontal="center" vertical="center" wrapText="1"/>
    </xf>
    <xf numFmtId="0" fontId="3" fillId="0" borderId="13" xfId="0" applyFont="1" applyBorder="1" applyAlignment="1">
      <alignment horizontal="center" vertical="center" wrapText="1"/>
    </xf>
    <xf numFmtId="0" fontId="8" fillId="0" borderId="13" xfId="0" applyFont="1" applyBorder="1" applyAlignment="1">
      <alignment horizontal="center" vertical="center" wrapText="1"/>
    </xf>
    <xf numFmtId="0" fontId="12" fillId="8" borderId="4" xfId="0" applyFont="1" applyFill="1" applyBorder="1" applyAlignment="1">
      <alignment horizontal="center" vertical="top" wrapText="1"/>
    </xf>
    <xf numFmtId="0" fontId="12" fillId="8" borderId="4" xfId="1" applyFont="1" applyFill="1" applyBorder="1" applyAlignment="1">
      <alignment horizontal="center" vertical="top"/>
    </xf>
    <xf numFmtId="0" fontId="12" fillId="8" borderId="4" xfId="1" applyFont="1" applyFill="1" applyBorder="1" applyAlignment="1">
      <alignment horizontal="center" vertical="top" wrapText="1"/>
    </xf>
    <xf numFmtId="0" fontId="13" fillId="8" borderId="0" xfId="0" applyFont="1" applyFill="1">
      <alignment vertical="top" wrapText="1"/>
    </xf>
    <xf numFmtId="0" fontId="14" fillId="7" borderId="2" xfId="1" applyFont="1" applyFill="1" applyBorder="1" applyAlignment="1" applyProtection="1">
      <alignment horizontal="center" vertical="center" wrapText="1"/>
      <protection locked="0"/>
    </xf>
    <xf numFmtId="0" fontId="7" fillId="0" borderId="0" xfId="0" applyFont="1" applyAlignment="1">
      <alignment horizontal="center" vertical="top" wrapText="1"/>
    </xf>
    <xf numFmtId="0" fontId="7" fillId="0" borderId="0" xfId="0" applyFont="1">
      <alignment vertical="top" wrapText="1"/>
    </xf>
    <xf numFmtId="0" fontId="7" fillId="0" borderId="0" xfId="1" applyFont="1" applyAlignment="1">
      <alignment horizontal="center" vertical="top"/>
    </xf>
    <xf numFmtId="0" fontId="16" fillId="3" borderId="0" xfId="2" applyFont="1" applyFill="1"/>
    <xf numFmtId="0" fontId="13" fillId="3" borderId="1" xfId="1" applyFont="1" applyFill="1" applyBorder="1" applyAlignment="1">
      <alignment horizontal="center" vertical="top" wrapText="1"/>
    </xf>
    <xf numFmtId="15" fontId="16" fillId="0" borderId="0" xfId="0" applyNumberFormat="1" applyFont="1" applyAlignment="1">
      <alignment horizontal="left" vertical="center" wrapText="1"/>
    </xf>
    <xf numFmtId="0" fontId="0" fillId="0" borderId="1" xfId="0" applyBorder="1">
      <alignment vertical="top" wrapText="1"/>
    </xf>
    <xf numFmtId="0" fontId="0" fillId="0" borderId="0" xfId="0" applyProtection="1">
      <alignment vertical="top" wrapText="1"/>
      <protection locked="0"/>
    </xf>
    <xf numFmtId="164" fontId="8" fillId="11" borderId="10" xfId="0" applyNumberFormat="1" applyFont="1" applyFill="1" applyBorder="1" applyAlignment="1">
      <alignment horizontal="center" vertical="center" wrapText="1"/>
    </xf>
    <xf numFmtId="164" fontId="8" fillId="10" borderId="10" xfId="0" applyNumberFormat="1" applyFont="1" applyFill="1" applyBorder="1" applyAlignment="1">
      <alignment horizontal="center" vertical="center" wrapText="1"/>
    </xf>
    <xf numFmtId="164" fontId="8" fillId="12" borderId="24" xfId="0" applyNumberFormat="1" applyFont="1" applyFill="1" applyBorder="1" applyAlignment="1">
      <alignment horizontal="center" vertical="center" wrapText="1"/>
    </xf>
    <xf numFmtId="164" fontId="8" fillId="5" borderId="10" xfId="0" applyNumberFormat="1" applyFont="1" applyFill="1" applyBorder="1" applyAlignment="1">
      <alignment horizontal="center" vertical="center" wrapText="1"/>
    </xf>
    <xf numFmtId="49" fontId="8" fillId="0" borderId="10" xfId="0" applyNumberFormat="1" applyFont="1" applyBorder="1" applyAlignment="1">
      <alignment horizontal="center" vertical="center" wrapText="1"/>
    </xf>
    <xf numFmtId="49" fontId="8" fillId="0" borderId="24" xfId="0" applyNumberFormat="1" applyFont="1" applyBorder="1" applyAlignment="1">
      <alignment horizontal="center" vertical="center" wrapText="1"/>
    </xf>
    <xf numFmtId="0" fontId="6" fillId="4" borderId="1" xfId="1" applyFont="1" applyFill="1" applyBorder="1" applyAlignment="1">
      <alignment horizontal="center" vertical="center" wrapText="1"/>
    </xf>
    <xf numFmtId="0" fontId="7" fillId="0" borderId="0" xfId="1" applyFont="1" applyAlignment="1">
      <alignment horizontal="center" vertical="center"/>
    </xf>
    <xf numFmtId="0" fontId="19" fillId="0" borderId="24" xfId="0" applyFont="1" applyBorder="1" applyProtection="1">
      <alignment vertical="top" wrapText="1"/>
      <protection locked="0"/>
    </xf>
    <xf numFmtId="0" fontId="19" fillId="0" borderId="0" xfId="0" applyFont="1">
      <alignment vertical="top" wrapText="1"/>
    </xf>
    <xf numFmtId="0" fontId="0" fillId="0" borderId="0" xfId="0" applyAlignment="1">
      <alignment vertical="center" wrapText="1"/>
    </xf>
    <xf numFmtId="0" fontId="2" fillId="0" borderId="0" xfId="0" applyFont="1" applyAlignment="1">
      <alignment vertical="center" wrapText="1"/>
    </xf>
    <xf numFmtId="0" fontId="13" fillId="0" borderId="1" xfId="0" applyFont="1" applyBorder="1" applyAlignment="1">
      <alignment vertical="center" wrapText="1"/>
    </xf>
    <xf numFmtId="0" fontId="14" fillId="7" borderId="1" xfId="2" applyFont="1" applyFill="1" applyBorder="1" applyAlignment="1">
      <alignment vertical="center" wrapText="1"/>
    </xf>
    <xf numFmtId="0" fontId="16" fillId="0" borderId="1" xfId="2" applyFont="1" applyBorder="1" applyAlignment="1">
      <alignment vertical="center" wrapText="1"/>
    </xf>
    <xf numFmtId="0" fontId="16" fillId="0" borderId="0" xfId="2" applyFont="1" applyAlignment="1">
      <alignment vertical="center" wrapText="1"/>
    </xf>
    <xf numFmtId="0" fontId="7" fillId="0" borderId="0" xfId="1" applyFont="1" applyAlignment="1">
      <alignment vertical="center" wrapText="1"/>
    </xf>
    <xf numFmtId="0" fontId="14" fillId="7" borderId="2" xfId="1" applyFont="1" applyFill="1" applyBorder="1" applyAlignment="1" applyProtection="1">
      <alignment vertical="center" wrapText="1"/>
      <protection locked="0"/>
    </xf>
    <xf numFmtId="0" fontId="14" fillId="7" borderId="2" xfId="2" applyFont="1" applyFill="1" applyBorder="1" applyAlignment="1">
      <alignment vertical="center" wrapText="1"/>
    </xf>
    <xf numFmtId="2" fontId="14" fillId="7" borderId="2" xfId="2" applyNumberFormat="1" applyFont="1" applyFill="1" applyBorder="1" applyAlignment="1">
      <alignment vertical="center" wrapText="1"/>
    </xf>
    <xf numFmtId="2" fontId="17" fillId="0" borderId="0" xfId="2" applyNumberFormat="1" applyFont="1" applyAlignment="1">
      <alignment vertical="center" wrapText="1"/>
    </xf>
    <xf numFmtId="165" fontId="17" fillId="0" borderId="0" xfId="2" applyNumberFormat="1" applyFont="1" applyAlignment="1">
      <alignment vertical="center" wrapText="1"/>
    </xf>
    <xf numFmtId="0" fontId="17" fillId="0" borderId="0" xfId="2" applyFont="1" applyAlignment="1">
      <alignment vertical="center" wrapText="1"/>
    </xf>
    <xf numFmtId="0" fontId="13" fillId="0" borderId="0" xfId="2" applyFont="1" applyAlignment="1">
      <alignment vertical="center" wrapText="1"/>
    </xf>
    <xf numFmtId="14" fontId="16" fillId="0" borderId="1" xfId="2" applyNumberFormat="1" applyFont="1" applyBorder="1" applyAlignment="1">
      <alignment vertical="center" wrapText="1"/>
    </xf>
    <xf numFmtId="165" fontId="16" fillId="0" borderId="0" xfId="2" applyNumberFormat="1" applyFont="1" applyAlignment="1">
      <alignment vertical="center" wrapText="1"/>
    </xf>
    <xf numFmtId="0" fontId="16" fillId="3" borderId="1" xfId="2" applyFont="1" applyFill="1" applyBorder="1" applyAlignment="1">
      <alignment vertical="center" wrapText="1"/>
    </xf>
    <xf numFmtId="0" fontId="16" fillId="3" borderId="0" xfId="2" applyFont="1" applyFill="1" applyAlignment="1">
      <alignment vertical="center" wrapText="1"/>
    </xf>
    <xf numFmtId="0" fontId="0" fillId="3" borderId="0" xfId="0" applyFill="1">
      <alignment vertical="top" wrapText="1"/>
    </xf>
    <xf numFmtId="14" fontId="16" fillId="3" borderId="1" xfId="2" applyNumberFormat="1" applyFont="1" applyFill="1" applyBorder="1" applyAlignment="1">
      <alignment vertical="center" wrapText="1"/>
    </xf>
    <xf numFmtId="165" fontId="16" fillId="0" borderId="1" xfId="2" applyNumberFormat="1" applyFont="1" applyBorder="1" applyAlignment="1">
      <alignment vertical="center" wrapText="1"/>
    </xf>
    <xf numFmtId="165" fontId="16" fillId="3" borderId="1" xfId="2" applyNumberFormat="1" applyFont="1" applyFill="1" applyBorder="1" applyAlignment="1">
      <alignment vertical="center" wrapText="1"/>
    </xf>
    <xf numFmtId="0" fontId="8" fillId="15" borderId="10" xfId="0" applyFont="1" applyFill="1" applyBorder="1" applyAlignment="1">
      <alignment horizontal="center" vertical="center" wrapText="1"/>
    </xf>
    <xf numFmtId="0" fontId="8" fillId="16" borderId="10" xfId="0" applyFont="1" applyFill="1" applyBorder="1" applyAlignment="1">
      <alignment horizontal="center" vertical="center" wrapText="1"/>
    </xf>
    <xf numFmtId="0" fontId="8" fillId="17" borderId="10" xfId="0" applyFont="1" applyFill="1" applyBorder="1" applyAlignment="1">
      <alignment horizontal="center" vertical="center" wrapText="1"/>
    </xf>
    <xf numFmtId="0" fontId="8" fillId="18" borderId="10" xfId="0" applyFont="1" applyFill="1" applyBorder="1" applyAlignment="1">
      <alignment horizontal="center" vertical="center" wrapText="1"/>
    </xf>
    <xf numFmtId="0" fontId="8" fillId="19" borderId="10" xfId="0" applyFont="1" applyFill="1" applyBorder="1" applyAlignment="1">
      <alignment horizontal="center" vertical="center" wrapText="1"/>
    </xf>
    <xf numFmtId="0" fontId="8" fillId="19" borderId="24" xfId="0" applyFont="1" applyFill="1" applyBorder="1" applyAlignment="1">
      <alignment horizontal="center" vertical="center" wrapText="1"/>
    </xf>
    <xf numFmtId="0" fontId="8" fillId="18" borderId="24" xfId="0" applyFont="1" applyFill="1" applyBorder="1" applyAlignment="1">
      <alignment horizontal="center" vertical="center" wrapText="1"/>
    </xf>
    <xf numFmtId="0" fontId="8" fillId="17" borderId="24" xfId="0" applyFont="1" applyFill="1" applyBorder="1" applyAlignment="1">
      <alignment horizontal="center" vertical="center" wrapText="1"/>
    </xf>
    <xf numFmtId="0" fontId="3" fillId="0" borderId="24" xfId="0" applyFont="1" applyBorder="1" applyAlignment="1">
      <alignment horizontal="center" vertical="center" wrapText="1"/>
    </xf>
    <xf numFmtId="0" fontId="0" fillId="0" borderId="29" xfId="0" applyBorder="1" applyAlignment="1"/>
    <xf numFmtId="0" fontId="0" fillId="0" borderId="31" xfId="0" applyBorder="1" applyAlignment="1"/>
    <xf numFmtId="0" fontId="0" fillId="0" borderId="34" xfId="0" applyBorder="1" applyAlignment="1"/>
    <xf numFmtId="0" fontId="0" fillId="0" borderId="30" xfId="0" applyBorder="1" applyAlignment="1"/>
    <xf numFmtId="0" fontId="0" fillId="0" borderId="30" xfId="0" applyBorder="1" applyAlignment="1">
      <alignment vertical="top"/>
    </xf>
    <xf numFmtId="0" fontId="0" fillId="0" borderId="13" xfId="0" applyBorder="1">
      <alignment vertical="top" wrapText="1"/>
    </xf>
    <xf numFmtId="0" fontId="16" fillId="0" borderId="1" xfId="2" applyFont="1" applyBorder="1" applyAlignment="1">
      <alignment horizontal="center" vertical="center" wrapText="1"/>
    </xf>
    <xf numFmtId="0" fontId="0" fillId="0" borderId="0" xfId="0" applyAlignment="1">
      <alignment horizontal="left" vertical="top" wrapText="1"/>
    </xf>
    <xf numFmtId="0" fontId="3" fillId="11" borderId="1" xfId="0" applyFont="1" applyFill="1" applyBorder="1">
      <alignment vertical="top" wrapText="1"/>
    </xf>
    <xf numFmtId="0" fontId="3" fillId="10" borderId="1" xfId="0" applyFont="1" applyFill="1" applyBorder="1" applyAlignment="1">
      <alignment vertical="center" wrapText="1"/>
    </xf>
    <xf numFmtId="0" fontId="3" fillId="12" borderId="1" xfId="0" applyFont="1" applyFill="1" applyBorder="1" applyAlignment="1">
      <alignment vertical="center" wrapText="1"/>
    </xf>
    <xf numFmtId="0" fontId="26" fillId="3" borderId="1" xfId="0" applyFont="1" applyFill="1" applyBorder="1" applyAlignment="1">
      <alignment vertical="center" wrapText="1"/>
    </xf>
    <xf numFmtId="164" fontId="8" fillId="11" borderId="24" xfId="0" applyNumberFormat="1" applyFont="1" applyFill="1" applyBorder="1" applyAlignment="1">
      <alignment horizontal="center" vertical="center" wrapText="1"/>
    </xf>
    <xf numFmtId="164" fontId="8" fillId="10" borderId="24" xfId="0" applyNumberFormat="1" applyFont="1" applyFill="1" applyBorder="1" applyAlignment="1">
      <alignment horizontal="center" vertical="center" wrapText="1"/>
    </xf>
    <xf numFmtId="0" fontId="18" fillId="3" borderId="0" xfId="0" applyFont="1" applyFill="1" applyAlignment="1">
      <alignment horizontal="center" vertical="top" wrapText="1"/>
    </xf>
    <xf numFmtId="164" fontId="8" fillId="3" borderId="0" xfId="0" applyNumberFormat="1" applyFont="1" applyFill="1" applyAlignment="1">
      <alignment horizontal="center" vertical="center" wrapText="1"/>
    </xf>
    <xf numFmtId="0" fontId="8" fillId="3" borderId="0" xfId="0" applyFont="1" applyFill="1" applyAlignment="1">
      <alignment horizontal="center" vertical="center" wrapText="1"/>
    </xf>
    <xf numFmtId="0" fontId="10" fillId="3" borderId="0" xfId="0" applyFont="1" applyFill="1" applyAlignment="1">
      <alignment horizontal="center" vertical="center" wrapText="1"/>
    </xf>
    <xf numFmtId="0" fontId="10" fillId="3" borderId="29" xfId="0" applyFont="1" applyFill="1" applyBorder="1" applyAlignment="1">
      <alignment vertical="center" wrapText="1"/>
    </xf>
    <xf numFmtId="0" fontId="16" fillId="10" borderId="1" xfId="2" applyFont="1" applyFill="1" applyBorder="1" applyAlignment="1">
      <alignment vertical="center" wrapText="1"/>
    </xf>
    <xf numFmtId="0" fontId="16" fillId="11" borderId="1" xfId="2" applyFont="1" applyFill="1" applyBorder="1" applyAlignment="1">
      <alignment vertical="center" wrapText="1"/>
    </xf>
    <xf numFmtId="0" fontId="28" fillId="5" borderId="1" xfId="2" applyFont="1" applyFill="1" applyBorder="1" applyAlignment="1">
      <alignment vertical="center" wrapText="1"/>
    </xf>
    <xf numFmtId="0" fontId="28" fillId="0" borderId="1" xfId="2" applyFont="1" applyBorder="1" applyAlignment="1">
      <alignment vertical="center" wrapText="1"/>
    </xf>
    <xf numFmtId="0" fontId="31" fillId="0" borderId="1" xfId="2" applyFont="1" applyBorder="1" applyAlignment="1">
      <alignment vertical="center" wrapText="1"/>
    </xf>
    <xf numFmtId="0" fontId="2" fillId="0" borderId="1" xfId="0" applyFont="1" applyBorder="1" applyAlignment="1">
      <alignment vertical="center" wrapText="1"/>
    </xf>
    <xf numFmtId="0" fontId="31" fillId="0" borderId="1" xfId="2" applyFont="1" applyBorder="1" applyAlignment="1">
      <alignment vertical="top" wrapText="1"/>
    </xf>
    <xf numFmtId="0" fontId="30" fillId="0" borderId="1" xfId="2" applyFont="1" applyBorder="1" applyAlignment="1">
      <alignment vertical="center" wrapText="1"/>
    </xf>
    <xf numFmtId="0" fontId="13" fillId="5" borderId="1" xfId="0" applyFont="1" applyFill="1" applyBorder="1" applyAlignment="1">
      <alignment vertical="center" wrapText="1"/>
    </xf>
    <xf numFmtId="0" fontId="27" fillId="0" borderId="1" xfId="0" applyFont="1" applyBorder="1" applyAlignment="1">
      <alignment vertical="center" wrapText="1"/>
    </xf>
    <xf numFmtId="0" fontId="27" fillId="23" borderId="1" xfId="2" applyFont="1" applyFill="1" applyBorder="1" applyAlignment="1">
      <alignment vertical="center" wrapText="1"/>
    </xf>
    <xf numFmtId="0" fontId="27" fillId="23" borderId="1" xfId="1" applyFont="1" applyFill="1" applyBorder="1" applyAlignment="1">
      <alignment vertical="center" wrapText="1"/>
    </xf>
    <xf numFmtId="0" fontId="27" fillId="23" borderId="22" xfId="2" applyFont="1" applyFill="1" applyBorder="1" applyAlignment="1">
      <alignment horizontal="center" vertical="top" wrapText="1"/>
    </xf>
    <xf numFmtId="0" fontId="27" fillId="23" borderId="19" xfId="1" applyFont="1" applyFill="1" applyBorder="1" applyAlignment="1">
      <alignment horizontal="center" vertical="top"/>
    </xf>
    <xf numFmtId="0" fontId="27" fillId="23" borderId="19" xfId="1" applyFont="1" applyFill="1" applyBorder="1" applyAlignment="1">
      <alignment horizontal="center" vertical="center" wrapText="1"/>
    </xf>
    <xf numFmtId="0" fontId="27" fillId="23" borderId="20" xfId="1" applyFont="1" applyFill="1" applyBorder="1" applyAlignment="1">
      <alignment horizontal="center" vertical="top"/>
    </xf>
    <xf numFmtId="0" fontId="27" fillId="23" borderId="21" xfId="2" applyFont="1" applyFill="1" applyBorder="1" applyAlignment="1">
      <alignment horizontal="center" vertical="top" wrapText="1"/>
    </xf>
    <xf numFmtId="0" fontId="27" fillId="23" borderId="19" xfId="1" applyFont="1" applyFill="1" applyBorder="1" applyAlignment="1">
      <alignment horizontal="center" vertical="top" wrapText="1"/>
    </xf>
    <xf numFmtId="0" fontId="27" fillId="23" borderId="25" xfId="2" applyFont="1" applyFill="1" applyBorder="1" applyAlignment="1">
      <alignment horizontal="center" vertical="top" wrapText="1"/>
    </xf>
    <xf numFmtId="0" fontId="27" fillId="23" borderId="26" xfId="2" applyFont="1" applyFill="1" applyBorder="1" applyAlignment="1">
      <alignment horizontal="center" vertical="top" wrapText="1"/>
    </xf>
    <xf numFmtId="0" fontId="27" fillId="23" borderId="23" xfId="1" applyFont="1" applyFill="1" applyBorder="1" applyAlignment="1">
      <alignment horizontal="center" vertical="top"/>
    </xf>
    <xf numFmtId="0" fontId="27" fillId="23" borderId="23" xfId="1" applyFont="1" applyFill="1" applyBorder="1" applyAlignment="1">
      <alignment horizontal="center" vertical="top" wrapText="1"/>
    </xf>
    <xf numFmtId="0" fontId="27" fillId="23" borderId="23" xfId="1" applyFont="1" applyFill="1" applyBorder="1" applyAlignment="1">
      <alignment horizontal="center" vertical="center" wrapText="1"/>
    </xf>
    <xf numFmtId="0" fontId="27" fillId="23" borderId="27" xfId="2" applyFont="1" applyFill="1" applyBorder="1" applyAlignment="1">
      <alignment horizontal="center" vertical="top" wrapText="1"/>
    </xf>
    <xf numFmtId="0" fontId="0" fillId="0" borderId="1" xfId="0" applyBorder="1" applyAlignment="1">
      <alignment vertical="center" wrapText="1"/>
    </xf>
    <xf numFmtId="0" fontId="16" fillId="0" borderId="1" xfId="2" applyFont="1" applyBorder="1" applyAlignment="1">
      <alignment vertical="top" wrapText="1"/>
    </xf>
    <xf numFmtId="0" fontId="28" fillId="0" borderId="1" xfId="2" applyFont="1" applyBorder="1" applyAlignment="1">
      <alignment vertical="top" wrapText="1"/>
    </xf>
    <xf numFmtId="0" fontId="30" fillId="0" borderId="1" xfId="2" applyFont="1" applyBorder="1" applyAlignment="1">
      <alignment vertical="top" wrapText="1"/>
    </xf>
    <xf numFmtId="0" fontId="35" fillId="0" borderId="0" xfId="0" applyFont="1" applyAlignment="1">
      <alignment vertical="center" wrapText="1"/>
    </xf>
    <xf numFmtId="0" fontId="36" fillId="0" borderId="0" xfId="0" applyFont="1" applyAlignment="1">
      <alignment vertical="center" wrapText="1"/>
    </xf>
    <xf numFmtId="0" fontId="0" fillId="0" borderId="0" xfId="0" applyAlignment="1">
      <alignment horizontal="left" vertical="center" wrapText="1" indent="1"/>
    </xf>
    <xf numFmtId="0" fontId="37" fillId="0" borderId="0" xfId="0" applyFont="1" applyAlignment="1">
      <alignment horizontal="left" vertical="center" wrapText="1" indent="1"/>
    </xf>
    <xf numFmtId="0" fontId="38" fillId="0" borderId="0" xfId="0" applyFont="1">
      <alignment vertical="top" wrapText="1"/>
    </xf>
    <xf numFmtId="0" fontId="11" fillId="0" borderId="1" xfId="0" applyFont="1" applyBorder="1" applyAlignment="1">
      <alignment horizontal="center" vertical="center" wrapText="1"/>
    </xf>
    <xf numFmtId="0" fontId="11" fillId="0" borderId="1" xfId="0" applyFont="1" applyBorder="1" applyAlignment="1">
      <alignment vertical="center" wrapText="1"/>
    </xf>
    <xf numFmtId="0" fontId="11" fillId="0" borderId="1" xfId="0" applyFont="1" applyBorder="1" applyAlignment="1">
      <alignment horizontal="right" vertical="center" wrapText="1"/>
    </xf>
    <xf numFmtId="10" fontId="11" fillId="0" borderId="1" xfId="0" applyNumberFormat="1" applyFont="1" applyBorder="1" applyAlignment="1">
      <alignment horizontal="center" vertical="center" wrapText="1"/>
    </xf>
    <xf numFmtId="9" fontId="11" fillId="0" borderId="1" xfId="0" applyNumberFormat="1" applyFont="1" applyBorder="1" applyAlignment="1">
      <alignment horizontal="center" vertical="center" wrapText="1"/>
    </xf>
    <xf numFmtId="0" fontId="2" fillId="0" borderId="1" xfId="0" applyFont="1" applyBorder="1" applyAlignment="1">
      <alignment horizontal="center" vertical="center" wrapText="1"/>
    </xf>
    <xf numFmtId="16" fontId="2" fillId="0" borderId="1" xfId="0" applyNumberFormat="1" applyFont="1" applyBorder="1" applyAlignment="1">
      <alignment horizontal="center" vertical="center" wrapText="1"/>
    </xf>
    <xf numFmtId="0" fontId="0" fillId="0" borderId="0" xfId="0" applyAlignment="1">
      <alignment horizontal="right" vertical="center" wrapText="1" indent="1"/>
    </xf>
    <xf numFmtId="0" fontId="51" fillId="0" borderId="0" xfId="0" applyFont="1" applyAlignment="1">
      <alignment horizontal="left" vertical="center" wrapText="1"/>
    </xf>
    <xf numFmtId="0" fontId="42" fillId="0" borderId="0" xfId="0" applyFont="1">
      <alignment vertical="top" wrapText="1"/>
    </xf>
    <xf numFmtId="0" fontId="41" fillId="0" borderId="0" xfId="0" applyFont="1">
      <alignment vertical="top" wrapText="1"/>
    </xf>
    <xf numFmtId="0" fontId="45" fillId="0" borderId="0" xfId="0" applyFont="1">
      <alignment vertical="top" wrapText="1"/>
    </xf>
    <xf numFmtId="0" fontId="46" fillId="0" borderId="0" xfId="0" applyFont="1">
      <alignment vertical="top" wrapText="1"/>
    </xf>
    <xf numFmtId="0" fontId="47" fillId="0" borderId="0" xfId="0" applyFont="1">
      <alignment vertical="top" wrapText="1"/>
    </xf>
    <xf numFmtId="0" fontId="48" fillId="0" borderId="0" xfId="0" applyFont="1">
      <alignment vertical="top" wrapText="1"/>
    </xf>
    <xf numFmtId="0" fontId="49" fillId="0" borderId="0" xfId="0" applyFont="1">
      <alignment vertical="top" wrapText="1"/>
    </xf>
    <xf numFmtId="0" fontId="43" fillId="0" borderId="0" xfId="0" applyFont="1">
      <alignment vertical="top" wrapText="1"/>
    </xf>
    <xf numFmtId="0" fontId="44" fillId="0" borderId="0" xfId="0" applyFont="1">
      <alignment vertical="top" wrapText="1"/>
    </xf>
    <xf numFmtId="0" fontId="2" fillId="0" borderId="0" xfId="0" applyFont="1" applyAlignment="1">
      <alignment horizontal="left" vertical="center" wrapText="1" indent="1"/>
    </xf>
    <xf numFmtId="0" fontId="54" fillId="3" borderId="1" xfId="0" applyFont="1" applyFill="1" applyBorder="1">
      <alignment vertical="top" wrapText="1"/>
    </xf>
    <xf numFmtId="0" fontId="57" fillId="3" borderId="1" xfId="0" applyFont="1" applyFill="1" applyBorder="1">
      <alignment vertical="top" wrapText="1"/>
    </xf>
    <xf numFmtId="0" fontId="59" fillId="3" borderId="1" xfId="0" applyFont="1" applyFill="1" applyBorder="1">
      <alignment vertical="top" wrapText="1"/>
    </xf>
    <xf numFmtId="0" fontId="11" fillId="0" borderId="0" xfId="0" applyFont="1" applyAlignment="1">
      <alignment horizontal="left" vertical="center" wrapText="1" indent="1"/>
    </xf>
    <xf numFmtId="0" fontId="11" fillId="0" borderId="0" xfId="0" applyFont="1" applyAlignment="1">
      <alignment horizontal="left" vertical="top" wrapText="1" indent="1"/>
    </xf>
    <xf numFmtId="0" fontId="37" fillId="2" borderId="0" xfId="0" applyFont="1" applyFill="1">
      <alignment vertical="top" wrapText="1"/>
    </xf>
    <xf numFmtId="0" fontId="59" fillId="3" borderId="1" xfId="0" applyFont="1" applyFill="1" applyBorder="1" applyAlignment="1">
      <alignment vertical="top"/>
    </xf>
    <xf numFmtId="0" fontId="60" fillId="3" borderId="1" xfId="0" applyFont="1" applyFill="1" applyBorder="1" applyAlignment="1">
      <alignment vertical="top"/>
    </xf>
    <xf numFmtId="0" fontId="56" fillId="3" borderId="1" xfId="0" applyFont="1" applyFill="1" applyBorder="1" applyAlignment="1">
      <alignment vertical="top"/>
    </xf>
    <xf numFmtId="0" fontId="60" fillId="3" borderId="1" xfId="0" applyFont="1" applyFill="1" applyBorder="1">
      <alignment vertical="top" wrapText="1"/>
    </xf>
    <xf numFmtId="0" fontId="56" fillId="3" borderId="1" xfId="0" applyFont="1" applyFill="1" applyBorder="1">
      <alignment vertical="top" wrapText="1"/>
    </xf>
    <xf numFmtId="0" fontId="58" fillId="3" borderId="1" xfId="0" applyFont="1" applyFill="1" applyBorder="1">
      <alignment vertical="top" wrapText="1"/>
    </xf>
    <xf numFmtId="0" fontId="36" fillId="2" borderId="0" xfId="0" applyFont="1" applyFill="1" applyAlignment="1">
      <alignment vertical="center" wrapText="1"/>
    </xf>
    <xf numFmtId="0" fontId="55" fillId="2" borderId="1" xfId="0" applyFont="1" applyFill="1" applyBorder="1" applyAlignment="1">
      <alignment horizontal="left" vertical="center" wrapText="1"/>
    </xf>
    <xf numFmtId="0" fontId="13" fillId="0" borderId="0" xfId="0" applyFont="1" applyAlignment="1">
      <alignment horizontal="right" vertical="center" wrapText="1" indent="1"/>
    </xf>
    <xf numFmtId="0" fontId="61" fillId="10" borderId="1" xfId="0" applyFont="1" applyFill="1" applyBorder="1">
      <alignment vertical="top" wrapText="1"/>
    </xf>
    <xf numFmtId="0" fontId="62" fillId="26" borderId="1" xfId="0" applyFont="1" applyFill="1" applyBorder="1">
      <alignment vertical="top" wrapText="1"/>
    </xf>
    <xf numFmtId="0" fontId="64" fillId="26" borderId="1" xfId="0" applyFont="1" applyFill="1" applyBorder="1">
      <alignment vertical="top" wrapText="1"/>
    </xf>
    <xf numFmtId="0" fontId="61" fillId="10" borderId="2" xfId="0" applyFont="1" applyFill="1" applyBorder="1">
      <alignment vertical="top" wrapText="1"/>
    </xf>
    <xf numFmtId="0" fontId="64" fillId="25" borderId="2" xfId="0" applyFont="1" applyFill="1" applyBorder="1">
      <alignment vertical="top" wrapText="1"/>
    </xf>
    <xf numFmtId="0" fontId="62" fillId="25" borderId="1" xfId="0" applyFont="1" applyFill="1" applyBorder="1">
      <alignment vertical="top" wrapText="1"/>
    </xf>
    <xf numFmtId="0" fontId="63" fillId="25" borderId="1" xfId="0" applyFont="1" applyFill="1" applyBorder="1">
      <alignment vertical="top" wrapText="1"/>
    </xf>
    <xf numFmtId="0" fontId="64" fillId="25" borderId="1" xfId="0" applyFont="1" applyFill="1" applyBorder="1">
      <alignment vertical="top" wrapText="1"/>
    </xf>
    <xf numFmtId="0" fontId="65" fillId="25" borderId="1" xfId="0" applyFont="1" applyFill="1" applyBorder="1">
      <alignment vertical="top" wrapText="1"/>
    </xf>
    <xf numFmtId="0" fontId="62" fillId="14" borderId="1" xfId="0" applyFont="1" applyFill="1" applyBorder="1">
      <alignment vertical="top" wrapText="1"/>
    </xf>
    <xf numFmtId="0" fontId="64" fillId="14" borderId="1" xfId="0" applyFont="1" applyFill="1" applyBorder="1">
      <alignment vertical="top" wrapText="1"/>
    </xf>
    <xf numFmtId="0" fontId="62" fillId="26" borderId="4" xfId="0" applyFont="1" applyFill="1" applyBorder="1">
      <alignment vertical="top" wrapText="1"/>
    </xf>
    <xf numFmtId="0" fontId="64" fillId="26" borderId="4" xfId="0" applyFont="1" applyFill="1" applyBorder="1">
      <alignment vertical="top" wrapText="1"/>
    </xf>
    <xf numFmtId="0" fontId="66" fillId="2" borderId="1" xfId="0" applyFont="1" applyFill="1" applyBorder="1" applyAlignment="1">
      <alignment horizontal="left" vertical="center" wrapText="1"/>
    </xf>
    <xf numFmtId="0" fontId="65" fillId="0" borderId="1" xfId="0" applyFont="1" applyBorder="1">
      <alignment vertical="top" wrapText="1"/>
    </xf>
    <xf numFmtId="0" fontId="13" fillId="25" borderId="1" xfId="0" applyFont="1" applyFill="1" applyBorder="1">
      <alignment vertical="top" wrapText="1"/>
    </xf>
    <xf numFmtId="0" fontId="67" fillId="25" borderId="1" xfId="0" applyFont="1" applyFill="1" applyBorder="1">
      <alignment vertical="top" wrapText="1"/>
    </xf>
    <xf numFmtId="0" fontId="63" fillId="0" borderId="1" xfId="0" applyFont="1" applyBorder="1">
      <alignment vertical="top" wrapText="1"/>
    </xf>
    <xf numFmtId="0" fontId="67" fillId="0" borderId="1" xfId="0" applyFont="1" applyBorder="1">
      <alignment vertical="top" wrapText="1"/>
    </xf>
    <xf numFmtId="0" fontId="68" fillId="0" borderId="1" xfId="0" applyFont="1" applyBorder="1">
      <alignment vertical="top" wrapText="1"/>
    </xf>
    <xf numFmtId="0" fontId="13" fillId="25" borderId="9" xfId="0" applyFont="1" applyFill="1" applyBorder="1">
      <alignment vertical="top" wrapText="1"/>
    </xf>
    <xf numFmtId="0" fontId="63" fillId="25" borderId="9" xfId="0" applyFont="1" applyFill="1" applyBorder="1" applyAlignment="1">
      <alignment horizontal="right" vertical="top" wrapText="1"/>
    </xf>
    <xf numFmtId="0" fontId="64" fillId="25" borderId="9" xfId="0" applyFont="1" applyFill="1" applyBorder="1">
      <alignment vertical="top" wrapText="1"/>
    </xf>
    <xf numFmtId="0" fontId="65" fillId="25" borderId="9" xfId="0" applyFont="1" applyFill="1" applyBorder="1">
      <alignment vertical="top" wrapText="1"/>
    </xf>
    <xf numFmtId="0" fontId="27" fillId="0" borderId="1" xfId="0" applyFont="1" applyBorder="1">
      <alignment vertical="top" wrapText="1"/>
    </xf>
    <xf numFmtId="0" fontId="27" fillId="25" borderId="1" xfId="0" applyFont="1" applyFill="1" applyBorder="1">
      <alignment vertical="top" wrapText="1"/>
    </xf>
    <xf numFmtId="0" fontId="68" fillId="25" borderId="1" xfId="0" applyFont="1" applyFill="1" applyBorder="1">
      <alignment vertical="top" wrapText="1"/>
    </xf>
    <xf numFmtId="0" fontId="69" fillId="0" borderId="0" xfId="0" applyFont="1" applyAlignment="1">
      <alignment horizontal="left" vertical="center" wrapText="1"/>
    </xf>
    <xf numFmtId="0" fontId="67" fillId="26" borderId="1" xfId="0" applyFont="1" applyFill="1" applyBorder="1">
      <alignment vertical="top" wrapText="1"/>
    </xf>
    <xf numFmtId="0" fontId="13" fillId="26" borderId="1" xfId="0" applyFont="1" applyFill="1" applyBorder="1">
      <alignment vertical="top" wrapText="1"/>
    </xf>
    <xf numFmtId="0" fontId="71" fillId="0" borderId="0" xfId="0" applyFont="1" applyAlignment="1">
      <alignment horizontal="center" vertical="center" wrapText="1"/>
    </xf>
    <xf numFmtId="0" fontId="66" fillId="2" borderId="0" xfId="0" applyFont="1" applyFill="1" applyAlignment="1">
      <alignment horizontal="left" vertical="center" wrapText="1"/>
    </xf>
    <xf numFmtId="0" fontId="13" fillId="25" borderId="0" xfId="0" applyFont="1" applyFill="1">
      <alignment vertical="top" wrapText="1"/>
    </xf>
    <xf numFmtId="0" fontId="67" fillId="0" borderId="0" xfId="0" applyFont="1">
      <alignment vertical="top" wrapText="1"/>
    </xf>
    <xf numFmtId="0" fontId="68" fillId="25" borderId="0" xfId="0" applyFont="1" applyFill="1">
      <alignment vertical="top" wrapText="1"/>
    </xf>
    <xf numFmtId="0" fontId="68" fillId="0" borderId="0" xfId="0" applyFont="1">
      <alignment vertical="top" wrapText="1"/>
    </xf>
    <xf numFmtId="0" fontId="27" fillId="0" borderId="0" xfId="0" applyFont="1">
      <alignment vertical="top" wrapText="1"/>
    </xf>
    <xf numFmtId="0" fontId="66" fillId="0" borderId="0" xfId="0" applyFont="1" applyAlignment="1">
      <alignment horizontal="left" vertical="center" wrapText="1"/>
    </xf>
    <xf numFmtId="0" fontId="11" fillId="0" borderId="0" xfId="0" applyFont="1" applyAlignment="1">
      <alignment vertical="center" wrapText="1"/>
    </xf>
    <xf numFmtId="0" fontId="75" fillId="0" borderId="1" xfId="0" applyFont="1" applyBorder="1" applyAlignment="1">
      <alignment horizontal="center" vertical="center" wrapText="1"/>
    </xf>
    <xf numFmtId="0" fontId="75" fillId="0" borderId="1" xfId="0" applyFont="1" applyBorder="1" applyAlignment="1">
      <alignment vertical="center" wrapText="1"/>
    </xf>
    <xf numFmtId="0" fontId="19" fillId="0" borderId="1" xfId="0" applyFont="1" applyBorder="1" applyAlignment="1">
      <alignment vertical="center" wrapText="1"/>
    </xf>
    <xf numFmtId="0" fontId="19" fillId="5" borderId="1" xfId="0" applyFont="1" applyFill="1" applyBorder="1" applyAlignment="1">
      <alignment vertical="center" wrapText="1"/>
    </xf>
    <xf numFmtId="0" fontId="19" fillId="24" borderId="1" xfId="0" applyFont="1" applyFill="1" applyBorder="1" applyAlignment="1">
      <alignment vertical="center" wrapText="1"/>
    </xf>
    <xf numFmtId="0" fontId="19" fillId="22" borderId="1" xfId="0" applyFont="1" applyFill="1" applyBorder="1" applyAlignment="1">
      <alignment vertical="center" wrapText="1"/>
    </xf>
    <xf numFmtId="0" fontId="19" fillId="0" borderId="1" xfId="0" applyFont="1" applyBorder="1">
      <alignment vertical="top" wrapText="1"/>
    </xf>
    <xf numFmtId="0" fontId="75" fillId="24" borderId="1" xfId="0" applyFont="1" applyFill="1" applyBorder="1" applyAlignment="1">
      <alignment vertical="center" wrapText="1"/>
    </xf>
    <xf numFmtId="0" fontId="75" fillId="0" borderId="1" xfId="0" applyFont="1" applyBorder="1">
      <alignment vertical="top" wrapText="1"/>
    </xf>
    <xf numFmtId="0" fontId="10" fillId="0" borderId="0" xfId="0" applyFont="1">
      <alignment vertical="top" wrapText="1"/>
    </xf>
    <xf numFmtId="0" fontId="18" fillId="0" borderId="0" xfId="0" applyFont="1" applyAlignment="1">
      <alignment horizontal="center" vertical="center" wrapText="1"/>
    </xf>
    <xf numFmtId="0" fontId="10" fillId="0" borderId="0" xfId="0" applyFont="1" applyAlignment="1">
      <alignment vertical="center" wrapText="1"/>
    </xf>
    <xf numFmtId="0" fontId="38" fillId="0" borderId="1" xfId="0" applyFont="1" applyBorder="1">
      <alignment vertical="top" wrapText="1"/>
    </xf>
    <xf numFmtId="0" fontId="2" fillId="0" borderId="1" xfId="0" applyFont="1" applyBorder="1" applyAlignment="1">
      <alignment horizontal="right" vertical="center" wrapText="1"/>
    </xf>
    <xf numFmtId="0" fontId="53" fillId="0" borderId="0" xfId="0" applyFont="1" applyAlignment="1">
      <alignment horizontal="right" vertical="center" wrapText="1" indent="1"/>
    </xf>
    <xf numFmtId="0" fontId="53" fillId="0" borderId="0" xfId="0" applyFont="1">
      <alignment vertical="top" wrapText="1"/>
    </xf>
    <xf numFmtId="0" fontId="10" fillId="0" borderId="0" xfId="0" applyFont="1" applyAlignment="1">
      <alignment horizontal="center" vertical="top" wrapText="1"/>
    </xf>
    <xf numFmtId="0" fontId="13" fillId="0" borderId="1" xfId="0" applyFont="1" applyBorder="1" applyAlignment="1">
      <alignment horizontal="center" vertical="top" wrapText="1"/>
    </xf>
    <xf numFmtId="0" fontId="13" fillId="25" borderId="1" xfId="0" applyFont="1" applyFill="1" applyBorder="1" applyAlignment="1">
      <alignment horizontal="center" vertical="top" wrapText="1"/>
    </xf>
    <xf numFmtId="9" fontId="2" fillId="0" borderId="1" xfId="0" applyNumberFormat="1" applyFont="1" applyBorder="1" applyAlignment="1">
      <alignment vertical="center" wrapText="1"/>
    </xf>
    <xf numFmtId="0" fontId="27" fillId="0" borderId="1" xfId="0" applyFont="1" applyBorder="1" applyAlignment="1">
      <alignment horizontal="center" vertical="center" wrapText="1"/>
    </xf>
    <xf numFmtId="9" fontId="13" fillId="0" borderId="1" xfId="0" applyNumberFormat="1" applyFont="1" applyBorder="1" applyAlignment="1">
      <alignment vertical="center" wrapText="1"/>
    </xf>
    <xf numFmtId="0" fontId="13" fillId="24" borderId="1" xfId="0" applyFont="1" applyFill="1" applyBorder="1" applyAlignment="1">
      <alignment vertical="center" wrapText="1"/>
    </xf>
    <xf numFmtId="0" fontId="81" fillId="24" borderId="1" xfId="0" applyFont="1" applyFill="1" applyBorder="1" applyAlignment="1">
      <alignment vertical="center" wrapText="1"/>
    </xf>
    <xf numFmtId="0" fontId="13" fillId="22" borderId="1" xfId="0" applyFont="1" applyFill="1" applyBorder="1" applyAlignment="1">
      <alignment vertical="center" wrapText="1"/>
    </xf>
    <xf numFmtId="0" fontId="81" fillId="22" borderId="1" xfId="0" applyFont="1" applyFill="1" applyBorder="1" applyAlignment="1">
      <alignment vertical="center" wrapText="1"/>
    </xf>
    <xf numFmtId="0" fontId="81" fillId="10" borderId="1" xfId="0" applyFont="1" applyFill="1" applyBorder="1" applyAlignment="1">
      <alignment vertical="center" wrapText="1"/>
    </xf>
    <xf numFmtId="0" fontId="82" fillId="10" borderId="1" xfId="0" applyFont="1" applyFill="1" applyBorder="1" applyAlignment="1">
      <alignment vertical="center" wrapText="1"/>
    </xf>
    <xf numFmtId="0" fontId="27" fillId="24" borderId="1" xfId="0" applyFont="1" applyFill="1" applyBorder="1" applyAlignment="1">
      <alignment vertical="center" wrapText="1"/>
    </xf>
    <xf numFmtId="0" fontId="27" fillId="2" borderId="1" xfId="0" applyFont="1" applyFill="1" applyBorder="1" applyAlignment="1">
      <alignment horizontal="left" vertical="center" wrapText="1"/>
    </xf>
    <xf numFmtId="0" fontId="27" fillId="2" borderId="1" xfId="0" applyFont="1" applyFill="1" applyBorder="1" applyAlignment="1">
      <alignment horizontal="center" vertical="center" wrapText="1"/>
    </xf>
    <xf numFmtId="0" fontId="13" fillId="0" borderId="1" xfId="0" applyFont="1" applyBorder="1" applyAlignment="1">
      <alignment horizontal="right" vertical="center" wrapText="1"/>
    </xf>
    <xf numFmtId="9" fontId="13" fillId="0" borderId="1" xfId="0" applyNumberFormat="1" applyFont="1" applyBorder="1" applyAlignment="1">
      <alignment horizontal="right" vertical="center" wrapText="1"/>
    </xf>
    <xf numFmtId="0" fontId="11" fillId="22" borderId="1" xfId="0" applyFont="1" applyFill="1" applyBorder="1" applyAlignment="1">
      <alignment horizontal="center" vertical="center" wrapText="1"/>
    </xf>
    <xf numFmtId="0" fontId="24" fillId="22" borderId="1" xfId="0" applyFont="1" applyFill="1" applyBorder="1" applyAlignment="1">
      <alignment horizontal="center" vertical="center" wrapText="1"/>
    </xf>
    <xf numFmtId="0" fontId="39" fillId="0" borderId="0" xfId="0" applyFont="1" applyAlignment="1">
      <alignment vertical="center" wrapText="1"/>
    </xf>
    <xf numFmtId="0" fontId="84" fillId="0" borderId="0" xfId="0" applyFont="1" applyAlignment="1">
      <alignment vertical="center" wrapText="1"/>
    </xf>
    <xf numFmtId="10" fontId="2" fillId="0" borderId="1" xfId="0" applyNumberFormat="1" applyFont="1" applyBorder="1" applyAlignment="1">
      <alignment horizontal="right" vertical="center" wrapText="1"/>
    </xf>
    <xf numFmtId="9" fontId="2" fillId="0" borderId="1" xfId="0" applyNumberFormat="1" applyFont="1" applyBorder="1" applyAlignment="1">
      <alignment horizontal="right" vertical="center" wrapText="1"/>
    </xf>
    <xf numFmtId="0" fontId="82" fillId="24" borderId="1" xfId="0" applyFont="1" applyFill="1" applyBorder="1" applyAlignment="1">
      <alignment vertical="center" wrapText="1"/>
    </xf>
    <xf numFmtId="0" fontId="2" fillId="10" borderId="1" xfId="0" applyFont="1" applyFill="1" applyBorder="1" applyAlignment="1">
      <alignment vertical="center" wrapText="1"/>
    </xf>
    <xf numFmtId="0" fontId="0" fillId="0" borderId="1" xfId="0" applyBorder="1" applyAlignment="1">
      <alignment horizontal="left" vertical="top" wrapText="1"/>
    </xf>
    <xf numFmtId="0" fontId="12" fillId="22" borderId="1" xfId="0" applyFont="1" applyFill="1" applyBorder="1" applyAlignment="1">
      <alignment horizontal="center" vertical="center" wrapText="1"/>
    </xf>
    <xf numFmtId="0" fontId="0" fillId="0" borderId="1" xfId="0" applyBorder="1" applyAlignment="1">
      <alignment horizontal="right" vertical="center" wrapText="1"/>
    </xf>
    <xf numFmtId="0" fontId="2" fillId="0" borderId="1" xfId="0" applyFont="1" applyBorder="1" applyAlignment="1">
      <alignment horizontal="right" vertical="center" wrapText="1" indent="1"/>
    </xf>
    <xf numFmtId="0" fontId="0" fillId="0" borderId="1" xfId="0" applyBorder="1" applyAlignment="1">
      <alignment horizontal="right" vertical="top" wrapText="1"/>
    </xf>
    <xf numFmtId="0" fontId="0" fillId="0" borderId="1" xfId="0" applyBorder="1" applyAlignment="1">
      <alignment horizontal="right" vertical="center" wrapText="1" indent="1"/>
    </xf>
    <xf numFmtId="0" fontId="24" fillId="24" borderId="1" xfId="0" applyFont="1" applyFill="1" applyBorder="1" applyAlignment="1">
      <alignment horizontal="right" vertical="center" wrapText="1"/>
    </xf>
    <xf numFmtId="0" fontId="24" fillId="24" borderId="1" xfId="0" applyFont="1" applyFill="1" applyBorder="1" applyAlignment="1">
      <alignment horizontal="right" vertical="center" wrapText="1" indent="1"/>
    </xf>
    <xf numFmtId="0" fontId="24" fillId="24" borderId="1" xfId="0" applyFont="1" applyFill="1" applyBorder="1" applyAlignment="1">
      <alignment horizontal="right" vertical="top" wrapText="1"/>
    </xf>
    <xf numFmtId="0" fontId="11" fillId="10" borderId="1" xfId="0" applyFont="1" applyFill="1" applyBorder="1" applyAlignment="1">
      <alignment horizontal="right" vertical="center" wrapText="1"/>
    </xf>
    <xf numFmtId="0" fontId="11" fillId="10" borderId="1" xfId="0" applyFont="1" applyFill="1" applyBorder="1" applyAlignment="1">
      <alignment horizontal="right" vertical="center" wrapText="1" indent="1"/>
    </xf>
    <xf numFmtId="0" fontId="87" fillId="0" borderId="0" xfId="0" applyFont="1" applyAlignment="1">
      <alignment horizontal="left" vertical="top" wrapText="1"/>
    </xf>
    <xf numFmtId="0" fontId="87" fillId="0" borderId="38" xfId="0" applyFont="1" applyBorder="1" applyAlignment="1">
      <alignment horizontal="left" vertical="top" wrapText="1"/>
    </xf>
    <xf numFmtId="0" fontId="87" fillId="0" borderId="39" xfId="0" applyFont="1" applyBorder="1" applyAlignment="1">
      <alignment horizontal="left" vertical="top" wrapText="1"/>
    </xf>
    <xf numFmtId="0" fontId="88" fillId="0" borderId="40" xfId="0" applyFont="1" applyBorder="1" applyAlignment="1">
      <alignment horizontal="left" vertical="top" wrapText="1"/>
    </xf>
    <xf numFmtId="0" fontId="88" fillId="0" borderId="41" xfId="0" applyFont="1" applyBorder="1" applyAlignment="1">
      <alignment horizontal="left" vertical="top" wrapText="1"/>
    </xf>
    <xf numFmtId="0" fontId="25" fillId="22" borderId="1" xfId="0" applyFont="1" applyFill="1" applyBorder="1" applyAlignment="1">
      <alignment horizontal="center" vertical="center" wrapText="1"/>
    </xf>
    <xf numFmtId="0" fontId="89" fillId="22" borderId="7" xfId="0" applyFont="1" applyFill="1" applyBorder="1" applyAlignment="1">
      <alignment horizontal="center" vertical="center" wrapText="1"/>
    </xf>
    <xf numFmtId="0" fontId="89" fillId="22" borderId="28" xfId="0" applyFont="1" applyFill="1" applyBorder="1" applyAlignment="1">
      <alignment horizontal="center" vertical="center" wrapText="1"/>
    </xf>
    <xf numFmtId="16" fontId="2" fillId="0" borderId="1" xfId="0" applyNumberFormat="1" applyFont="1" applyBorder="1" applyAlignment="1">
      <alignment horizontal="right" vertical="center" wrapText="1"/>
    </xf>
    <xf numFmtId="0" fontId="12" fillId="22" borderId="7" xfId="0" applyFont="1" applyFill="1" applyBorder="1" applyAlignment="1">
      <alignment horizontal="center" vertical="center" wrapText="1"/>
    </xf>
    <xf numFmtId="0" fontId="2" fillId="0" borderId="7" xfId="0" applyFont="1" applyBorder="1" applyAlignment="1">
      <alignment horizontal="right" vertical="center" wrapText="1"/>
    </xf>
    <xf numFmtId="0" fontId="12" fillId="0" borderId="0" xfId="0" applyFont="1" applyAlignment="1">
      <alignment horizontal="center" vertical="center" wrapText="1"/>
    </xf>
    <xf numFmtId="0" fontId="78" fillId="0" borderId="0" xfId="0" applyFont="1" applyAlignment="1">
      <alignment vertical="center" wrapText="1"/>
    </xf>
    <xf numFmtId="0" fontId="75" fillId="0" borderId="0" xfId="0" applyFont="1" applyAlignment="1">
      <alignment vertical="center" wrapText="1"/>
    </xf>
    <xf numFmtId="0" fontId="25" fillId="22" borderId="44" xfId="0" applyFont="1" applyFill="1" applyBorder="1" applyAlignment="1">
      <alignment horizontal="center" vertical="center" wrapText="1"/>
    </xf>
    <xf numFmtId="0" fontId="1" fillId="30" borderId="1" xfId="0" applyFont="1" applyFill="1" applyBorder="1" applyAlignment="1">
      <alignment vertical="center" wrapText="1"/>
    </xf>
    <xf numFmtId="10" fontId="1" fillId="30" borderId="1" xfId="0" applyNumberFormat="1" applyFont="1" applyFill="1" applyBorder="1" applyAlignment="1">
      <alignment horizontal="right" vertical="center" wrapText="1"/>
    </xf>
    <xf numFmtId="0" fontId="1" fillId="30" borderId="1" xfId="0" applyFont="1" applyFill="1" applyBorder="1" applyAlignment="1">
      <alignment horizontal="right" vertical="center" wrapText="1"/>
    </xf>
    <xf numFmtId="0" fontId="98" fillId="30" borderId="1" xfId="0" applyFont="1" applyFill="1" applyBorder="1" applyAlignment="1">
      <alignment vertical="center" wrapText="1"/>
    </xf>
    <xf numFmtId="0" fontId="97" fillId="30" borderId="1" xfId="0" applyFont="1" applyFill="1" applyBorder="1" applyAlignment="1">
      <alignment vertical="center" wrapText="1"/>
    </xf>
    <xf numFmtId="0" fontId="1" fillId="0" borderId="1" xfId="0" applyFont="1" applyBorder="1" applyAlignment="1">
      <alignment vertical="center" wrapText="1"/>
    </xf>
    <xf numFmtId="0" fontId="1" fillId="0" borderId="1" xfId="0" applyFont="1" applyBorder="1" applyAlignment="1">
      <alignment horizontal="right" vertical="center" wrapText="1"/>
    </xf>
    <xf numFmtId="0" fontId="98" fillId="0" borderId="1" xfId="0" applyFont="1" applyBorder="1" applyAlignment="1">
      <alignment vertical="center" wrapText="1"/>
    </xf>
    <xf numFmtId="0" fontId="97" fillId="0" borderId="1" xfId="0" applyFont="1" applyBorder="1" applyAlignment="1">
      <alignment vertical="center" wrapText="1"/>
    </xf>
    <xf numFmtId="0" fontId="96" fillId="0" borderId="1" xfId="0" applyFont="1" applyBorder="1" applyAlignment="1">
      <alignment vertical="center" wrapText="1"/>
    </xf>
    <xf numFmtId="0" fontId="96" fillId="30" borderId="1" xfId="0" applyFont="1" applyFill="1" applyBorder="1" applyAlignment="1">
      <alignment vertical="center" wrapText="1"/>
    </xf>
    <xf numFmtId="9" fontId="1" fillId="0" borderId="1" xfId="0" applyNumberFormat="1" applyFont="1" applyBorder="1" applyAlignment="1">
      <alignment horizontal="right" vertical="center" wrapText="1"/>
    </xf>
    <xf numFmtId="9" fontId="1" fillId="30" borderId="1" xfId="0" applyNumberFormat="1" applyFont="1" applyFill="1" applyBorder="1" applyAlignment="1">
      <alignment horizontal="right" vertical="center" wrapText="1"/>
    </xf>
    <xf numFmtId="0" fontId="1" fillId="0" borderId="45" xfId="0" applyFont="1" applyBorder="1" applyAlignment="1">
      <alignment vertical="center" wrapText="1"/>
    </xf>
    <xf numFmtId="0" fontId="1" fillId="0" borderId="45" xfId="0" applyFont="1" applyBorder="1" applyAlignment="1">
      <alignment horizontal="right" vertical="center" wrapText="1"/>
    </xf>
    <xf numFmtId="0" fontId="98" fillId="0" borderId="45" xfId="0" applyFont="1" applyBorder="1" applyAlignment="1">
      <alignment vertical="center" wrapText="1"/>
    </xf>
    <xf numFmtId="0" fontId="97" fillId="0" borderId="45" xfId="0" applyFont="1" applyBorder="1" applyAlignment="1">
      <alignment vertical="center" wrapText="1"/>
    </xf>
    <xf numFmtId="0" fontId="19" fillId="0" borderId="0" xfId="0" applyFont="1" applyAlignment="1">
      <alignment horizontal="center" vertical="center" wrapText="1"/>
    </xf>
    <xf numFmtId="0" fontId="2" fillId="0" borderId="0" xfId="0" applyFont="1" applyAlignment="1">
      <alignment vertical="top"/>
    </xf>
    <xf numFmtId="0" fontId="0" fillId="0" borderId="0" xfId="0" applyAlignment="1">
      <alignment vertical="top"/>
    </xf>
    <xf numFmtId="49" fontId="2" fillId="0" borderId="0" xfId="0" applyNumberFormat="1" applyFont="1" applyAlignment="1">
      <alignment horizontal="right" vertical="center"/>
    </xf>
    <xf numFmtId="0" fontId="11" fillId="0" borderId="0" xfId="0" applyFont="1" applyAlignment="1">
      <alignment horizontal="center" vertical="center"/>
    </xf>
    <xf numFmtId="0" fontId="11" fillId="0" borderId="0" xfId="0" applyFont="1" applyAlignment="1">
      <alignment vertical="top"/>
    </xf>
    <xf numFmtId="49" fontId="0" fillId="0" borderId="0" xfId="0" applyNumberFormat="1" applyAlignment="1">
      <alignment horizontal="right" vertical="center"/>
    </xf>
    <xf numFmtId="0" fontId="10" fillId="0" borderId="1" xfId="0" applyFont="1" applyBorder="1" applyAlignment="1">
      <alignment horizontal="left" vertical="center"/>
    </xf>
    <xf numFmtId="0" fontId="33" fillId="33" borderId="1" xfId="0" applyFont="1" applyFill="1" applyBorder="1" applyAlignment="1">
      <alignment horizontal="center" vertical="center"/>
    </xf>
    <xf numFmtId="0" fontId="33" fillId="0" borderId="1" xfId="0" applyFont="1" applyBorder="1" applyAlignment="1">
      <alignment horizontal="center" vertical="center"/>
    </xf>
    <xf numFmtId="49" fontId="25" fillId="12" borderId="1" xfId="0" applyNumberFormat="1" applyFont="1" applyFill="1" applyBorder="1" applyAlignment="1">
      <alignment horizontal="center" vertical="center"/>
    </xf>
    <xf numFmtId="49" fontId="75" fillId="35" borderId="1" xfId="0" applyNumberFormat="1" applyFont="1" applyFill="1" applyBorder="1" applyAlignment="1">
      <alignment horizontal="center" vertical="center"/>
    </xf>
    <xf numFmtId="10" fontId="0" fillId="0" borderId="0" xfId="0" applyNumberFormat="1" applyAlignment="1">
      <alignment vertical="top"/>
    </xf>
    <xf numFmtId="0" fontId="92" fillId="0" borderId="1" xfId="0" applyFont="1" applyBorder="1" applyAlignment="1">
      <alignment horizontal="center" vertical="center"/>
    </xf>
    <xf numFmtId="0" fontId="25" fillId="36" borderId="13" xfId="0" applyFont="1" applyFill="1" applyBorder="1" applyAlignment="1">
      <alignment horizontal="left" vertical="center"/>
    </xf>
    <xf numFmtId="0" fontId="25" fillId="36" borderId="30" xfId="0" applyFont="1" applyFill="1" applyBorder="1" applyAlignment="1">
      <alignment horizontal="left" vertical="center"/>
    </xf>
    <xf numFmtId="0" fontId="113" fillId="36" borderId="13" xfId="0" applyFont="1" applyFill="1" applyBorder="1" applyAlignment="1">
      <alignment horizontal="left" vertical="center"/>
    </xf>
    <xf numFmtId="0" fontId="113" fillId="10" borderId="13" xfId="0" applyFont="1" applyFill="1" applyBorder="1" applyAlignment="1">
      <alignment horizontal="left" vertical="center"/>
    </xf>
    <xf numFmtId="0" fontId="27" fillId="0" borderId="0" xfId="0" applyFont="1" applyAlignment="1">
      <alignment horizontal="center" vertical="center"/>
    </xf>
    <xf numFmtId="0" fontId="25" fillId="10" borderId="13" xfId="0" applyFont="1" applyFill="1" applyBorder="1" applyAlignment="1">
      <alignment horizontal="left" vertical="center"/>
    </xf>
    <xf numFmtId="0" fontId="19" fillId="0" borderId="1" xfId="0" applyFont="1" applyBorder="1" applyAlignment="1">
      <alignment horizontal="left" vertical="center"/>
    </xf>
    <xf numFmtId="0" fontId="13" fillId="0" borderId="0" xfId="0" applyFont="1" applyAlignment="1">
      <alignment vertical="top"/>
    </xf>
    <xf numFmtId="49" fontId="25" fillId="36" borderId="13" xfId="0" applyNumberFormat="1" applyFont="1" applyFill="1" applyBorder="1" applyAlignment="1">
      <alignment horizontal="left" vertical="center"/>
    </xf>
    <xf numFmtId="49" fontId="0" fillId="0" borderId="0" xfId="0" applyNumberFormat="1" applyAlignment="1">
      <alignment vertical="top"/>
    </xf>
    <xf numFmtId="0" fontId="27" fillId="0" borderId="0" xfId="0" applyFont="1" applyAlignment="1">
      <alignment horizontal="center" vertical="top"/>
    </xf>
    <xf numFmtId="0" fontId="85" fillId="0" borderId="0" xfId="0" applyFont="1" applyAlignment="1">
      <alignment vertical="center"/>
    </xf>
    <xf numFmtId="0" fontId="39" fillId="0" borderId="0" xfId="0" applyFont="1" applyAlignment="1">
      <alignment horizontal="center" vertical="center"/>
    </xf>
    <xf numFmtId="0" fontId="11" fillId="0" borderId="0" xfId="0" applyFont="1" applyAlignment="1">
      <alignment horizontal="center" vertical="top"/>
    </xf>
    <xf numFmtId="0" fontId="2" fillId="0" borderId="0" xfId="0" applyFont="1" applyAlignment="1">
      <alignment horizontal="center" vertical="top"/>
    </xf>
    <xf numFmtId="0" fontId="18" fillId="0" borderId="42" xfId="0" applyFont="1" applyBorder="1" applyAlignment="1">
      <alignment horizontal="center" vertical="center"/>
    </xf>
    <xf numFmtId="0" fontId="18" fillId="32" borderId="1" xfId="0" applyFont="1" applyFill="1" applyBorder="1" applyAlignment="1">
      <alignment horizontal="center" vertical="center"/>
    </xf>
    <xf numFmtId="0" fontId="34" fillId="32" borderId="1" xfId="0" applyFont="1" applyFill="1" applyBorder="1" applyAlignment="1">
      <alignment vertical="center"/>
    </xf>
    <xf numFmtId="0" fontId="114" fillId="32" borderId="1" xfId="0" applyFont="1" applyFill="1" applyBorder="1" applyAlignment="1">
      <alignment vertical="center"/>
    </xf>
    <xf numFmtId="0" fontId="18" fillId="0" borderId="0" xfId="0" applyFont="1" applyAlignment="1">
      <alignment horizontal="center" vertical="center"/>
    </xf>
    <xf numFmtId="0" fontId="116" fillId="12" borderId="1" xfId="0" applyFont="1" applyFill="1" applyBorder="1" applyAlignment="1">
      <alignment horizontal="center" vertical="center"/>
    </xf>
    <xf numFmtId="0" fontId="100" fillId="3" borderId="1" xfId="0" applyFont="1" applyFill="1" applyBorder="1" applyAlignment="1">
      <alignment horizontal="center" vertical="center"/>
    </xf>
    <xf numFmtId="0" fontId="13" fillId="0" borderId="1" xfId="1" applyFont="1" applyBorder="1" applyAlignment="1">
      <alignment horizontal="center" vertical="center" wrapText="1"/>
    </xf>
    <xf numFmtId="0" fontId="113" fillId="10" borderId="66" xfId="0" applyFont="1" applyFill="1" applyBorder="1" applyAlignment="1">
      <alignment horizontal="left" vertical="center"/>
    </xf>
    <xf numFmtId="9" fontId="0" fillId="0" borderId="1" xfId="0" applyNumberFormat="1" applyBorder="1" applyAlignment="1">
      <alignment vertical="center" wrapText="1"/>
    </xf>
    <xf numFmtId="10" fontId="0" fillId="0" borderId="1" xfId="0" applyNumberFormat="1" applyBorder="1" applyAlignment="1">
      <alignment vertical="center" wrapText="1"/>
    </xf>
    <xf numFmtId="0" fontId="12" fillId="22" borderId="7" xfId="5" applyFont="1" applyFill="1" applyBorder="1" applyAlignment="1">
      <alignment vertical="center" wrapText="1"/>
    </xf>
    <xf numFmtId="0" fontId="12" fillId="22" borderId="0" xfId="5" applyFont="1" applyFill="1" applyAlignment="1">
      <alignment vertical="center" wrapText="1"/>
    </xf>
    <xf numFmtId="0" fontId="2" fillId="0" borderId="0" xfId="5" applyAlignment="1">
      <alignment vertical="center" wrapText="1"/>
    </xf>
    <xf numFmtId="165" fontId="2" fillId="0" borderId="0" xfId="5" applyNumberFormat="1" applyAlignment="1">
      <alignment vertical="center" wrapText="1"/>
    </xf>
    <xf numFmtId="0" fontId="12" fillId="22" borderId="0" xfId="5" applyFont="1" applyFill="1" applyAlignment="1">
      <alignment horizontal="left" vertical="center" wrapText="1"/>
    </xf>
    <xf numFmtId="0" fontId="7" fillId="0" borderId="0" xfId="5" applyFont="1" applyAlignment="1">
      <alignment vertical="center" wrapText="1"/>
    </xf>
    <xf numFmtId="165" fontId="7" fillId="0" borderId="0" xfId="5" applyNumberFormat="1" applyFont="1" applyAlignment="1">
      <alignment vertical="center" wrapText="1"/>
    </xf>
    <xf numFmtId="0" fontId="14" fillId="7" borderId="0" xfId="2" applyFont="1" applyFill="1" applyAlignment="1">
      <alignment vertical="center" wrapText="1"/>
    </xf>
    <xf numFmtId="0" fontId="16" fillId="13" borderId="2" xfId="2" applyFont="1" applyFill="1" applyBorder="1" applyAlignment="1">
      <alignment vertical="center" wrapText="1"/>
    </xf>
    <xf numFmtId="0" fontId="16" fillId="3" borderId="2" xfId="2" applyFont="1" applyFill="1" applyBorder="1" applyAlignment="1">
      <alignment vertical="center" wrapText="1"/>
    </xf>
    <xf numFmtId="0" fontId="16" fillId="0" borderId="2" xfId="2" applyFont="1" applyBorder="1" applyAlignment="1">
      <alignment vertical="center" wrapText="1"/>
    </xf>
    <xf numFmtId="0" fontId="20" fillId="0" borderId="1" xfId="5" applyFont="1" applyBorder="1" applyAlignment="1">
      <alignment vertical="center" wrapText="1"/>
    </xf>
    <xf numFmtId="0" fontId="20" fillId="3" borderId="1" xfId="5" applyFont="1" applyFill="1" applyBorder="1" applyAlignment="1">
      <alignment vertical="center" wrapText="1"/>
    </xf>
    <xf numFmtId="0" fontId="2" fillId="0" borderId="1" xfId="5" applyBorder="1">
      <alignment vertical="top" wrapText="1"/>
    </xf>
    <xf numFmtId="0" fontId="32" fillId="0" borderId="0" xfId="5" applyFont="1" applyAlignment="1">
      <alignment horizontal="left" vertical="center" wrapText="1" indent="2"/>
    </xf>
    <xf numFmtId="0" fontId="3" fillId="0" borderId="0" xfId="5" applyFont="1">
      <alignment vertical="top" wrapText="1"/>
    </xf>
    <xf numFmtId="0" fontId="13" fillId="0" borderId="0" xfId="5" applyFont="1">
      <alignment vertical="top" wrapText="1"/>
    </xf>
    <xf numFmtId="0" fontId="13" fillId="0" borderId="0" xfId="5" applyFont="1" applyAlignment="1">
      <alignment vertical="center" wrapText="1"/>
    </xf>
    <xf numFmtId="0" fontId="20" fillId="21" borderId="1" xfId="5" applyFont="1" applyFill="1" applyBorder="1" applyAlignment="1">
      <alignment vertical="center" wrapText="1"/>
    </xf>
    <xf numFmtId="0" fontId="31" fillId="0" borderId="1" xfId="5" applyFont="1" applyBorder="1" applyAlignment="1">
      <alignment vertical="center" wrapText="1"/>
    </xf>
    <xf numFmtId="0" fontId="30" fillId="0" borderId="1" xfId="5" applyFont="1" applyBorder="1">
      <alignment vertical="top" wrapText="1"/>
    </xf>
    <xf numFmtId="0" fontId="13" fillId="5" borderId="1" xfId="5" applyFont="1" applyFill="1" applyBorder="1" applyAlignment="1">
      <alignment vertical="center" wrapText="1"/>
    </xf>
    <xf numFmtId="0" fontId="13" fillId="3" borderId="1" xfId="5" applyFont="1" applyFill="1" applyBorder="1" applyAlignment="1">
      <alignment horizontal="left" vertical="top" wrapText="1"/>
    </xf>
    <xf numFmtId="0" fontId="13" fillId="0" borderId="1" xfId="5" applyFont="1" applyBorder="1" applyAlignment="1">
      <alignment horizontal="left" vertical="top" wrapText="1"/>
    </xf>
    <xf numFmtId="0" fontId="31" fillId="3" borderId="1" xfId="5" applyFont="1" applyFill="1" applyBorder="1" applyAlignment="1">
      <alignment horizontal="left" vertical="top" wrapText="1"/>
    </xf>
    <xf numFmtId="0" fontId="13" fillId="3" borderId="4" xfId="5" applyFont="1" applyFill="1" applyBorder="1" applyAlignment="1">
      <alignment horizontal="left" vertical="top" wrapText="1"/>
    </xf>
    <xf numFmtId="0" fontId="13" fillId="0" borderId="4" xfId="5" applyFont="1" applyBorder="1" applyAlignment="1">
      <alignment horizontal="left" vertical="top" wrapText="1"/>
    </xf>
    <xf numFmtId="0" fontId="13" fillId="3" borderId="1" xfId="5" applyFont="1" applyFill="1" applyBorder="1" applyAlignment="1">
      <alignment horizontal="left" vertical="center" wrapText="1"/>
    </xf>
    <xf numFmtId="0" fontId="13" fillId="3" borderId="4" xfId="5" applyFont="1" applyFill="1" applyBorder="1" applyAlignment="1">
      <alignment horizontal="left" vertical="center" wrapText="1"/>
    </xf>
    <xf numFmtId="0" fontId="13" fillId="0" borderId="0" xfId="5" applyFont="1" applyAlignment="1">
      <alignment horizontal="center" vertical="center" wrapText="1"/>
    </xf>
    <xf numFmtId="0" fontId="13" fillId="0" borderId="0" xfId="5" applyFont="1" applyAlignment="1">
      <alignment horizontal="left" vertical="top" wrapText="1"/>
    </xf>
    <xf numFmtId="0" fontId="2" fillId="0" borderId="0" xfId="5" applyAlignment="1">
      <alignment horizontal="center" vertical="center" wrapText="1"/>
    </xf>
    <xf numFmtId="0" fontId="7" fillId="0" borderId="0" xfId="5" applyFont="1" applyAlignment="1">
      <alignment horizontal="center" vertical="center" wrapText="1"/>
    </xf>
    <xf numFmtId="0" fontId="7" fillId="0" borderId="0" xfId="5" applyFont="1" applyAlignment="1">
      <alignment horizontal="left" vertical="top" wrapText="1"/>
    </xf>
    <xf numFmtId="0" fontId="6" fillId="4" borderId="1" xfId="5" applyFont="1" applyFill="1" applyBorder="1" applyAlignment="1">
      <alignment horizontal="center" vertical="center" wrapText="1"/>
    </xf>
    <xf numFmtId="0" fontId="27" fillId="23" borderId="23" xfId="5" applyFont="1" applyFill="1" applyBorder="1" applyAlignment="1">
      <alignment horizontal="center" vertical="center" wrapText="1"/>
    </xf>
    <xf numFmtId="0" fontId="12" fillId="9" borderId="23" xfId="1" applyFont="1" applyFill="1" applyBorder="1" applyAlignment="1">
      <alignment horizontal="center" vertical="center" wrapText="1"/>
    </xf>
    <xf numFmtId="0" fontId="27" fillId="4" borderId="23" xfId="5" applyFont="1" applyFill="1" applyBorder="1" applyAlignment="1">
      <alignment horizontal="center" vertical="center" wrapText="1"/>
    </xf>
    <xf numFmtId="0" fontId="12" fillId="9" borderId="0" xfId="1" applyFont="1" applyFill="1" applyAlignment="1">
      <alignment horizontal="center" vertical="center" wrapText="1"/>
    </xf>
    <xf numFmtId="0" fontId="6" fillId="4" borderId="4" xfId="5" applyFont="1" applyFill="1" applyBorder="1" applyAlignment="1">
      <alignment horizontal="center" vertical="center" wrapText="1"/>
    </xf>
    <xf numFmtId="0" fontId="13" fillId="6" borderId="0" xfId="5" applyFont="1" applyFill="1" applyAlignment="1">
      <alignment vertical="center" wrapText="1"/>
    </xf>
    <xf numFmtId="0" fontId="13" fillId="0" borderId="1" xfId="5" applyFont="1" applyBorder="1" applyAlignment="1">
      <alignment vertical="center" wrapText="1"/>
    </xf>
    <xf numFmtId="0" fontId="13" fillId="0" borderId="1" xfId="5" applyFont="1" applyBorder="1" applyAlignment="1">
      <alignment horizontal="center" vertical="center" wrapText="1"/>
    </xf>
    <xf numFmtId="0" fontId="13" fillId="3" borderId="1" xfId="5" applyFont="1" applyFill="1" applyBorder="1" applyAlignment="1">
      <alignment horizontal="center" vertical="center" wrapText="1"/>
    </xf>
    <xf numFmtId="49" fontId="13" fillId="0" borderId="1" xfId="5" applyNumberFormat="1" applyFont="1" applyBorder="1" applyAlignment="1">
      <alignment horizontal="center" vertical="center" wrapText="1"/>
    </xf>
    <xf numFmtId="15" fontId="13" fillId="0" borderId="1" xfId="5" applyNumberFormat="1" applyFont="1" applyBorder="1" applyAlignment="1">
      <alignment vertical="center" wrapText="1"/>
    </xf>
    <xf numFmtId="0" fontId="2" fillId="0" borderId="1" xfId="5" applyBorder="1" applyAlignment="1">
      <alignment vertical="center" wrapText="1"/>
    </xf>
    <xf numFmtId="0" fontId="13" fillId="11" borderId="1" xfId="5" applyFont="1" applyFill="1" applyBorder="1" applyAlignment="1">
      <alignment horizontal="center" vertical="center" wrapText="1"/>
    </xf>
    <xf numFmtId="14" fontId="13" fillId="3" borderId="1" xfId="5" applyNumberFormat="1" applyFont="1" applyFill="1" applyBorder="1" applyAlignment="1">
      <alignment vertical="center" wrapText="1"/>
    </xf>
    <xf numFmtId="0" fontId="13" fillId="3" borderId="1" xfId="5" applyFont="1" applyFill="1" applyBorder="1" applyAlignment="1">
      <alignment vertical="center" wrapText="1"/>
    </xf>
    <xf numFmtId="6" fontId="2" fillId="0" borderId="1" xfId="5" applyNumberFormat="1" applyBorder="1" applyAlignment="1">
      <alignment vertical="center" wrapText="1"/>
    </xf>
    <xf numFmtId="9" fontId="2" fillId="0" borderId="1" xfId="5" applyNumberFormat="1" applyBorder="1" applyAlignment="1">
      <alignment vertical="center" wrapText="1"/>
    </xf>
    <xf numFmtId="0" fontId="13" fillId="3" borderId="1" xfId="1" applyFont="1" applyFill="1" applyBorder="1" applyAlignment="1">
      <alignment horizontal="center" vertical="center" wrapText="1"/>
    </xf>
    <xf numFmtId="49" fontId="13" fillId="3" borderId="1" xfId="5" applyNumberFormat="1" applyFont="1" applyFill="1" applyBorder="1" applyAlignment="1">
      <alignment horizontal="center" vertical="center" wrapText="1"/>
    </xf>
    <xf numFmtId="17" fontId="13" fillId="3" borderId="1" xfId="5" applyNumberFormat="1" applyFont="1" applyFill="1" applyBorder="1" applyAlignment="1">
      <alignment vertical="center" wrapText="1"/>
    </xf>
    <xf numFmtId="0" fontId="13" fillId="2" borderId="1" xfId="5" applyFont="1" applyFill="1" applyBorder="1" applyAlignment="1">
      <alignment horizontal="center" vertical="center" wrapText="1"/>
    </xf>
    <xf numFmtId="0" fontId="13" fillId="39" borderId="1" xfId="1" applyFont="1" applyFill="1" applyBorder="1" applyAlignment="1">
      <alignment horizontal="center" vertical="center" wrapText="1"/>
    </xf>
    <xf numFmtId="0" fontId="13" fillId="21" borderId="1" xfId="5" applyFont="1" applyFill="1" applyBorder="1" applyAlignment="1">
      <alignment vertical="center" wrapText="1"/>
    </xf>
    <xf numFmtId="15" fontId="13" fillId="3" borderId="1" xfId="5" applyNumberFormat="1" applyFont="1" applyFill="1" applyBorder="1" applyAlignment="1">
      <alignment vertical="center" wrapText="1"/>
    </xf>
    <xf numFmtId="0" fontId="13" fillId="5" borderId="1" xfId="5" applyFont="1" applyFill="1" applyBorder="1" applyAlignment="1">
      <alignment horizontal="center" vertical="center" wrapText="1"/>
    </xf>
    <xf numFmtId="0" fontId="2" fillId="0" borderId="1" xfId="5" applyBorder="1" applyAlignment="1">
      <alignment horizontal="center" vertical="center" wrapText="1"/>
    </xf>
    <xf numFmtId="0" fontId="2" fillId="5" borderId="1" xfId="5" applyFill="1" applyBorder="1" applyAlignment="1">
      <alignment vertical="center" wrapText="1"/>
    </xf>
    <xf numFmtId="0" fontId="13" fillId="0" borderId="1" xfId="5" applyFont="1" applyBorder="1" applyAlignment="1">
      <alignment horizontal="left" vertical="center" wrapText="1"/>
    </xf>
    <xf numFmtId="0" fontId="117" fillId="0" borderId="1" xfId="5" applyFont="1" applyBorder="1" applyAlignment="1">
      <alignment horizontal="center" vertical="center" wrapText="1"/>
    </xf>
    <xf numFmtId="0" fontId="117" fillId="0" borderId="1" xfId="5" applyFont="1" applyBorder="1" applyAlignment="1">
      <alignment vertical="center" wrapText="1"/>
    </xf>
    <xf numFmtId="0" fontId="2" fillId="3" borderId="0" xfId="5" applyFill="1" applyAlignment="1">
      <alignment vertical="center" wrapText="1"/>
    </xf>
    <xf numFmtId="0" fontId="120" fillId="0" borderId="0" xfId="5" applyFont="1" applyAlignment="1">
      <alignment vertical="center" wrapText="1"/>
    </xf>
    <xf numFmtId="49" fontId="11" fillId="0" borderId="0" xfId="5" applyNumberFormat="1" applyFont="1" applyAlignment="1">
      <alignment horizontal="center" vertical="top" wrapText="1"/>
    </xf>
    <xf numFmtId="0" fontId="11" fillId="0" borderId="0" xfId="5" applyFont="1">
      <alignment vertical="top" wrapText="1"/>
    </xf>
    <xf numFmtId="0" fontId="8" fillId="0" borderId="0" xfId="5" applyFont="1" applyAlignment="1">
      <alignment horizontal="center" vertical="top" wrapText="1"/>
    </xf>
    <xf numFmtId="0" fontId="2" fillId="0" borderId="0" xfId="5">
      <alignment vertical="top" wrapText="1"/>
    </xf>
    <xf numFmtId="49" fontId="2" fillId="0" borderId="0" xfId="5" applyNumberFormat="1" applyAlignment="1">
      <alignment horizontal="center" vertical="top" wrapText="1"/>
    </xf>
    <xf numFmtId="0" fontId="8" fillId="12" borderId="0" xfId="5" applyFont="1" applyFill="1" applyAlignment="1">
      <alignment horizontal="center" wrapText="1"/>
    </xf>
    <xf numFmtId="0" fontId="2" fillId="0" borderId="31" xfId="5" applyBorder="1" applyAlignment="1"/>
    <xf numFmtId="0" fontId="8" fillId="0" borderId="10" xfId="5" applyFont="1" applyBorder="1" applyAlignment="1">
      <alignment horizontal="center" vertical="center" wrapText="1"/>
    </xf>
    <xf numFmtId="0" fontId="8" fillId="15" borderId="10" xfId="5" applyFont="1" applyFill="1" applyBorder="1" applyAlignment="1">
      <alignment horizontal="center" vertical="center" wrapText="1"/>
    </xf>
    <xf numFmtId="0" fontId="8" fillId="16" borderId="10" xfId="5" applyFont="1" applyFill="1" applyBorder="1" applyAlignment="1">
      <alignment horizontal="center" vertical="center" wrapText="1"/>
    </xf>
    <xf numFmtId="0" fontId="8" fillId="11" borderId="0" xfId="5" applyFont="1" applyFill="1" applyAlignment="1">
      <alignment horizontal="left" vertical="center" wrapText="1"/>
    </xf>
    <xf numFmtId="0" fontId="3" fillId="0" borderId="1" xfId="5" applyFont="1" applyBorder="1" applyAlignment="1">
      <alignment horizontal="center" vertical="top" wrapText="1"/>
    </xf>
    <xf numFmtId="0" fontId="3" fillId="0" borderId="7" xfId="5" applyFont="1" applyBorder="1">
      <alignment vertical="top" wrapText="1"/>
    </xf>
    <xf numFmtId="0" fontId="3" fillId="0" borderId="7" xfId="5" applyFont="1" applyBorder="1" applyAlignment="1">
      <alignment horizontal="left" vertical="top" wrapText="1"/>
    </xf>
    <xf numFmtId="0" fontId="2" fillId="0" borderId="35" xfId="5" applyBorder="1" applyAlignment="1">
      <alignment horizontal="left" vertical="top" wrapText="1"/>
    </xf>
    <xf numFmtId="0" fontId="2" fillId="0" borderId="0" xfId="5" applyAlignment="1">
      <alignment horizontal="left" vertical="top" wrapText="1"/>
    </xf>
    <xf numFmtId="0" fontId="2" fillId="0" borderId="34" xfId="5" applyBorder="1" applyAlignment="1"/>
    <xf numFmtId="0" fontId="8" fillId="17" borderId="10" xfId="5" applyFont="1" applyFill="1" applyBorder="1" applyAlignment="1">
      <alignment horizontal="center" vertical="center" wrapText="1"/>
    </xf>
    <xf numFmtId="0" fontId="8" fillId="10" borderId="0" xfId="5" applyFont="1" applyFill="1" applyAlignment="1">
      <alignment horizontal="left" vertical="center" wrapText="1"/>
    </xf>
    <xf numFmtId="0" fontId="3" fillId="0" borderId="1" xfId="5" applyFont="1" applyBorder="1">
      <alignment vertical="top" wrapText="1"/>
    </xf>
    <xf numFmtId="0" fontId="8" fillId="18" borderId="10" xfId="5" applyFont="1" applyFill="1" applyBorder="1" applyAlignment="1">
      <alignment horizontal="center" vertical="center" wrapText="1"/>
    </xf>
    <xf numFmtId="0" fontId="8" fillId="5" borderId="0" xfId="5" applyFont="1" applyFill="1" applyAlignment="1">
      <alignment horizontal="left" vertical="center" wrapText="1"/>
    </xf>
    <xf numFmtId="0" fontId="8" fillId="2" borderId="0" xfId="5" applyFont="1" applyFill="1" applyAlignment="1">
      <alignment horizontal="center" wrapText="1"/>
    </xf>
    <xf numFmtId="0" fontId="8" fillId="19" borderId="10" xfId="5" applyFont="1" applyFill="1" applyBorder="1" applyAlignment="1">
      <alignment horizontal="center" vertical="center" wrapText="1"/>
    </xf>
    <xf numFmtId="0" fontId="8" fillId="2" borderId="0" xfId="5" applyFont="1" applyFill="1" applyAlignment="1">
      <alignment horizontal="left" vertical="center" wrapText="1"/>
    </xf>
    <xf numFmtId="0" fontId="8" fillId="0" borderId="24" xfId="5" applyFont="1" applyBorder="1" applyAlignment="1">
      <alignment horizontal="center" vertical="center" wrapText="1"/>
    </xf>
    <xf numFmtId="0" fontId="8" fillId="19" borderId="24" xfId="5" applyFont="1" applyFill="1" applyBorder="1" applyAlignment="1">
      <alignment horizontal="center" vertical="center" wrapText="1"/>
    </xf>
    <xf numFmtId="0" fontId="8" fillId="18" borderId="24" xfId="5" applyFont="1" applyFill="1" applyBorder="1" applyAlignment="1">
      <alignment horizontal="center" vertical="center" wrapText="1"/>
    </xf>
    <xf numFmtId="0" fontId="8" fillId="17" borderId="24" xfId="5" applyFont="1" applyFill="1" applyBorder="1" applyAlignment="1">
      <alignment horizontal="center" vertical="center" wrapText="1"/>
    </xf>
    <xf numFmtId="0" fontId="8" fillId="12" borderId="0" xfId="5" applyFont="1" applyFill="1" applyAlignment="1">
      <alignment horizontal="left" vertical="center" wrapText="1"/>
    </xf>
    <xf numFmtId="0" fontId="3" fillId="0" borderId="24" xfId="5" applyFont="1" applyBorder="1" applyAlignment="1">
      <alignment horizontal="center" vertical="center" wrapText="1"/>
    </xf>
    <xf numFmtId="0" fontId="8" fillId="0" borderId="13" xfId="5" applyFont="1" applyBorder="1" applyAlignment="1">
      <alignment horizontal="center" vertical="center" wrapText="1"/>
    </xf>
    <xf numFmtId="0" fontId="8" fillId="5" borderId="0" xfId="5" applyFont="1" applyFill="1" applyAlignment="1">
      <alignment horizontal="center" wrapText="1"/>
    </xf>
    <xf numFmtId="0" fontId="2" fillId="0" borderId="29" xfId="5" applyBorder="1" applyAlignment="1"/>
    <xf numFmtId="0" fontId="2" fillId="0" borderId="30" xfId="5" applyBorder="1" applyAlignment="1"/>
    <xf numFmtId="0" fontId="2" fillId="0" borderId="30" xfId="5" applyBorder="1" applyAlignment="1">
      <alignment vertical="top"/>
    </xf>
    <xf numFmtId="0" fontId="2" fillId="0" borderId="13" xfId="5" applyBorder="1">
      <alignment vertical="top" wrapText="1"/>
    </xf>
    <xf numFmtId="0" fontId="3" fillId="0" borderId="0" xfId="5" applyFont="1" applyAlignment="1">
      <alignment horizontal="center" vertical="top" wrapText="1"/>
    </xf>
    <xf numFmtId="0" fontId="8" fillId="10" borderId="0" xfId="5" applyFont="1" applyFill="1" applyAlignment="1">
      <alignment horizontal="center" wrapText="1"/>
    </xf>
    <xf numFmtId="0" fontId="3" fillId="0" borderId="0" xfId="5" applyFont="1" applyAlignment="1"/>
    <xf numFmtId="0" fontId="8" fillId="23" borderId="1" xfId="5" applyFont="1" applyFill="1" applyBorder="1">
      <alignment vertical="top" wrapText="1"/>
    </xf>
    <xf numFmtId="0" fontId="3" fillId="0" borderId="0" xfId="5" applyFont="1" applyAlignment="1">
      <alignment vertical="top"/>
    </xf>
    <xf numFmtId="0" fontId="8" fillId="11" borderId="0" xfId="5" applyFont="1" applyFill="1" applyAlignment="1">
      <alignment horizontal="center" wrapText="1"/>
    </xf>
    <xf numFmtId="49" fontId="2" fillId="3" borderId="0" xfId="5" applyNumberFormat="1" applyFill="1" applyAlignment="1">
      <alignment horizontal="center" vertical="top" wrapText="1"/>
    </xf>
    <xf numFmtId="0" fontId="8" fillId="3" borderId="0" xfId="5" applyFont="1" applyFill="1" applyAlignment="1">
      <alignment horizontal="center" wrapText="1"/>
    </xf>
    <xf numFmtId="0" fontId="2" fillId="3" borderId="0" xfId="5" applyFill="1">
      <alignment vertical="top" wrapText="1"/>
    </xf>
    <xf numFmtId="0" fontId="9" fillId="3" borderId="0" xfId="5" applyFont="1" applyFill="1" applyAlignment="1">
      <alignment horizontal="center" wrapText="1"/>
    </xf>
    <xf numFmtId="0" fontId="2" fillId="3" borderId="0" xfId="5" applyFill="1" applyAlignment="1">
      <alignment horizontal="center" vertical="top" wrapText="1"/>
    </xf>
    <xf numFmtId="0" fontId="2" fillId="0" borderId="0" xfId="5" applyAlignment="1">
      <alignment horizontal="center" vertical="top" wrapText="1"/>
    </xf>
    <xf numFmtId="0" fontId="2" fillId="0" borderId="7" xfId="5" applyBorder="1">
      <alignment vertical="top" wrapText="1"/>
    </xf>
    <xf numFmtId="0" fontId="2" fillId="0" borderId="4" xfId="5" applyBorder="1">
      <alignment vertical="top" wrapText="1"/>
    </xf>
    <xf numFmtId="0" fontId="2" fillId="0" borderId="9" xfId="5" applyBorder="1">
      <alignment vertical="top" wrapText="1"/>
    </xf>
    <xf numFmtId="49" fontId="2" fillId="0" borderId="0" xfId="5" applyNumberFormat="1">
      <alignment vertical="top" wrapText="1"/>
    </xf>
    <xf numFmtId="0" fontId="22" fillId="22" borderId="36" xfId="5" applyFont="1" applyFill="1" applyBorder="1">
      <alignment vertical="top" wrapText="1"/>
    </xf>
    <xf numFmtId="0" fontId="24" fillId="22" borderId="21" xfId="5" applyFont="1" applyFill="1" applyBorder="1">
      <alignment vertical="top" wrapText="1"/>
    </xf>
    <xf numFmtId="0" fontId="11" fillId="0" borderId="0" xfId="5" applyFont="1" applyAlignment="1"/>
    <xf numFmtId="0" fontId="11" fillId="0" borderId="1" xfId="5" applyFont="1" applyBorder="1">
      <alignment vertical="top" wrapText="1"/>
    </xf>
    <xf numFmtId="0" fontId="2" fillId="11" borderId="0" xfId="5" applyFill="1">
      <alignment vertical="top" wrapText="1"/>
    </xf>
    <xf numFmtId="0" fontId="3" fillId="6" borderId="1" xfId="5" applyFont="1" applyFill="1" applyBorder="1">
      <alignment vertical="top" wrapText="1"/>
    </xf>
    <xf numFmtId="0" fontId="3" fillId="0" borderId="3" xfId="5" applyFont="1" applyBorder="1">
      <alignment vertical="top" wrapText="1"/>
    </xf>
    <xf numFmtId="0" fontId="3" fillId="0" borderId="35" xfId="5" applyFont="1" applyBorder="1">
      <alignment vertical="top" wrapText="1"/>
    </xf>
    <xf numFmtId="0" fontId="2" fillId="10" borderId="0" xfId="5" applyFill="1">
      <alignment vertical="top" wrapText="1"/>
    </xf>
    <xf numFmtId="0" fontId="2" fillId="12" borderId="0" xfId="5" applyFill="1">
      <alignment vertical="top" wrapText="1"/>
    </xf>
    <xf numFmtId="0" fontId="8" fillId="11" borderId="0" xfId="5" applyFont="1" applyFill="1" applyAlignment="1">
      <alignment vertical="center" wrapText="1"/>
    </xf>
    <xf numFmtId="0" fontId="8" fillId="10" borderId="0" xfId="5" applyFont="1" applyFill="1" applyAlignment="1">
      <alignment vertical="center" wrapText="1"/>
    </xf>
    <xf numFmtId="0" fontId="8" fillId="12" borderId="0" xfId="5" applyFont="1" applyFill="1" applyAlignment="1">
      <alignment vertical="center" wrapText="1"/>
    </xf>
    <xf numFmtId="0" fontId="26" fillId="3" borderId="1" xfId="5" applyFont="1" applyFill="1" applyBorder="1" applyAlignment="1">
      <alignment vertical="center" wrapText="1"/>
    </xf>
    <xf numFmtId="0" fontId="3" fillId="11" borderId="1" xfId="5" applyFont="1" applyFill="1" applyBorder="1">
      <alignment vertical="top" wrapText="1"/>
    </xf>
    <xf numFmtId="0" fontId="3" fillId="10" borderId="1" xfId="5" applyFont="1" applyFill="1" applyBorder="1" applyAlignment="1">
      <alignment vertical="center" wrapText="1"/>
    </xf>
    <xf numFmtId="0" fontId="3" fillId="12" borderId="1" xfId="5" applyFont="1" applyFill="1" applyBorder="1" applyAlignment="1">
      <alignment vertical="center" wrapText="1"/>
    </xf>
    <xf numFmtId="0" fontId="2" fillId="0" borderId="0" xfId="5" applyAlignment="1">
      <alignment vertical="top"/>
    </xf>
    <xf numFmtId="0" fontId="2" fillId="0" borderId="58" xfId="5" applyBorder="1">
      <alignment vertical="top" wrapText="1"/>
    </xf>
    <xf numFmtId="0" fontId="75" fillId="0" borderId="58" xfId="5" applyFont="1" applyBorder="1" applyAlignment="1">
      <alignment horizontal="center" vertical="top" wrapText="1"/>
    </xf>
    <xf numFmtId="0" fontId="75" fillId="0" borderId="58" xfId="5" applyFont="1" applyBorder="1" applyAlignment="1">
      <alignment horizontal="center" vertical="top"/>
    </xf>
    <xf numFmtId="0" fontId="2" fillId="0" borderId="59" xfId="5" applyBorder="1">
      <alignment vertical="top" wrapText="1"/>
    </xf>
    <xf numFmtId="0" fontId="2" fillId="0" borderId="32" xfId="5" applyBorder="1">
      <alignment vertical="top" wrapText="1"/>
    </xf>
    <xf numFmtId="0" fontId="2" fillId="0" borderId="33" xfId="5" applyBorder="1">
      <alignment vertical="top" wrapText="1"/>
    </xf>
    <xf numFmtId="0" fontId="2" fillId="0" borderId="60" xfId="5" applyBorder="1">
      <alignment vertical="top" wrapText="1"/>
    </xf>
    <xf numFmtId="0" fontId="2" fillId="0" borderId="49" xfId="5" applyBorder="1">
      <alignment vertical="top" wrapText="1"/>
    </xf>
    <xf numFmtId="0" fontId="2" fillId="0" borderId="30" xfId="5" applyBorder="1">
      <alignment vertical="top" wrapText="1"/>
    </xf>
    <xf numFmtId="0" fontId="2" fillId="0" borderId="61" xfId="5" applyBorder="1">
      <alignment vertical="top" wrapText="1"/>
    </xf>
    <xf numFmtId="0" fontId="35" fillId="0" borderId="61" xfId="5" applyFont="1" applyBorder="1" applyAlignment="1">
      <alignment horizontal="center" vertical="center" wrapText="1"/>
    </xf>
    <xf numFmtId="0" fontId="18" fillId="0" borderId="61" xfId="5" applyFont="1" applyBorder="1" applyAlignment="1">
      <alignment horizontal="center" vertical="center" wrapText="1"/>
    </xf>
    <xf numFmtId="0" fontId="18" fillId="0" borderId="61" xfId="5" applyFont="1" applyBorder="1" applyAlignment="1">
      <alignment horizontal="center" vertical="center"/>
    </xf>
    <xf numFmtId="0" fontId="2" fillId="0" borderId="62" xfId="5" applyBorder="1">
      <alignment vertical="top" wrapText="1"/>
    </xf>
    <xf numFmtId="0" fontId="104" fillId="22" borderId="0" xfId="5" applyFont="1" applyFill="1" applyAlignment="1">
      <alignment horizontal="center" vertical="center" wrapText="1"/>
    </xf>
    <xf numFmtId="0" fontId="35" fillId="0" borderId="0" xfId="5" applyFont="1" applyAlignment="1">
      <alignment horizontal="center" vertical="center" wrapText="1"/>
    </xf>
    <xf numFmtId="0" fontId="18" fillId="0" borderId="0" xfId="5" applyFont="1" applyAlignment="1">
      <alignment horizontal="center" vertical="center" wrapText="1"/>
    </xf>
    <xf numFmtId="0" fontId="35" fillId="0" borderId="58" xfId="5" applyFont="1" applyBorder="1">
      <alignment vertical="top" wrapText="1"/>
    </xf>
    <xf numFmtId="0" fontId="2" fillId="0" borderId="58" xfId="5" applyBorder="1" applyAlignment="1">
      <alignment vertical="top"/>
    </xf>
    <xf numFmtId="0" fontId="101" fillId="0" borderId="0" xfId="5" applyFont="1" applyAlignment="1">
      <alignment horizontal="left" vertical="top" wrapText="1" readingOrder="1"/>
    </xf>
    <xf numFmtId="0" fontId="99" fillId="0" borderId="0" xfId="5" applyFont="1" applyAlignment="1">
      <alignment horizontal="left" vertical="top" wrapText="1" readingOrder="1"/>
    </xf>
    <xf numFmtId="9" fontId="101" fillId="0" borderId="0" xfId="5" applyNumberFormat="1" applyFont="1" applyAlignment="1">
      <alignment horizontal="left" vertical="top" wrapText="1" readingOrder="1"/>
    </xf>
    <xf numFmtId="0" fontId="19" fillId="0" borderId="61" xfId="5" applyFont="1" applyBorder="1" applyAlignment="1">
      <alignment vertical="center" wrapText="1"/>
    </xf>
    <xf numFmtId="0" fontId="33" fillId="0" borderId="61" xfId="5" applyFont="1" applyBorder="1" applyAlignment="1">
      <alignment horizontal="center" vertical="center" wrapText="1"/>
    </xf>
    <xf numFmtId="0" fontId="75" fillId="0" borderId="61" xfId="5" applyFont="1" applyBorder="1" applyAlignment="1">
      <alignment horizontal="center" vertical="center" wrapText="1"/>
    </xf>
    <xf numFmtId="0" fontId="2" fillId="0" borderId="61" xfId="5" applyBorder="1" applyAlignment="1">
      <alignment vertical="top"/>
    </xf>
    <xf numFmtId="0" fontId="19" fillId="0" borderId="61" xfId="5" applyFont="1" applyBorder="1" applyAlignment="1">
      <alignment horizontal="center" vertical="center" wrapText="1"/>
    </xf>
    <xf numFmtId="0" fontId="102" fillId="22" borderId="0" xfId="5" applyFont="1" applyFill="1">
      <alignment vertical="top" wrapText="1"/>
    </xf>
    <xf numFmtId="0" fontId="18" fillId="0" borderId="0" xfId="5" applyFont="1" applyAlignment="1">
      <alignment horizontal="center" vertical="center"/>
    </xf>
    <xf numFmtId="0" fontId="35" fillId="0" borderId="32" xfId="5" applyFont="1" applyBorder="1" applyAlignment="1">
      <alignment horizontal="center" vertical="center" wrapText="1"/>
    </xf>
    <xf numFmtId="0" fontId="18" fillId="0" borderId="32" xfId="5" applyFont="1" applyBorder="1" applyAlignment="1">
      <alignment horizontal="center" vertical="center" wrapText="1"/>
    </xf>
    <xf numFmtId="0" fontId="18" fillId="0" borderId="32" xfId="5" applyFont="1" applyBorder="1" applyAlignment="1">
      <alignment horizontal="center" vertical="center"/>
    </xf>
    <xf numFmtId="0" fontId="35" fillId="0" borderId="30" xfId="5" applyFont="1" applyBorder="1" applyAlignment="1">
      <alignment horizontal="center" vertical="center" wrapText="1"/>
    </xf>
    <xf numFmtId="0" fontId="18" fillId="0" borderId="30" xfId="5" applyFont="1" applyBorder="1" applyAlignment="1">
      <alignment horizontal="center" vertical="center" wrapText="1"/>
    </xf>
    <xf numFmtId="0" fontId="18" fillId="0" borderId="30" xfId="5" applyFont="1" applyBorder="1" applyAlignment="1">
      <alignment horizontal="center" vertical="center"/>
    </xf>
    <xf numFmtId="0" fontId="27" fillId="23" borderId="7" xfId="2" applyFont="1" applyFill="1" applyBorder="1" applyAlignment="1">
      <alignment vertical="center" wrapText="1"/>
    </xf>
    <xf numFmtId="0" fontId="14" fillId="7" borderId="7" xfId="2" applyFont="1" applyFill="1" applyBorder="1" applyAlignment="1">
      <alignment vertical="center" wrapText="1"/>
    </xf>
    <xf numFmtId="0" fontId="16" fillId="0" borderId="7" xfId="2" applyFont="1" applyBorder="1" applyAlignment="1">
      <alignment vertical="center" wrapText="1"/>
    </xf>
    <xf numFmtId="0" fontId="16" fillId="3" borderId="7" xfId="2" applyFont="1" applyFill="1" applyBorder="1" applyAlignment="1">
      <alignment vertical="center" wrapText="1"/>
    </xf>
    <xf numFmtId="0" fontId="29" fillId="0" borderId="7" xfId="3" applyFill="1" applyBorder="1" applyAlignment="1">
      <alignment vertical="center" wrapText="1"/>
    </xf>
    <xf numFmtId="0" fontId="0" fillId="0" borderId="0" xfId="0" applyAlignment="1"/>
    <xf numFmtId="0" fontId="75" fillId="0" borderId="0" xfId="5" applyFont="1" applyAlignment="1">
      <alignment vertical="center" wrapText="1"/>
    </xf>
    <xf numFmtId="0" fontId="108" fillId="0" borderId="0" xfId="5" applyFont="1" applyAlignment="1">
      <alignment vertical="center" wrapText="1"/>
    </xf>
    <xf numFmtId="0" fontId="91" fillId="28" borderId="1" xfId="0" applyFont="1" applyFill="1" applyBorder="1" applyAlignment="1">
      <alignment horizontal="center" vertical="center" wrapText="1"/>
    </xf>
    <xf numFmtId="0" fontId="0" fillId="0" borderId="0" xfId="0" pivotButton="1">
      <alignment vertical="top" wrapText="1"/>
    </xf>
    <xf numFmtId="166" fontId="0" fillId="0" borderId="0" xfId="0" applyNumberFormat="1">
      <alignment vertical="top" wrapText="1"/>
    </xf>
    <xf numFmtId="0" fontId="122" fillId="0" borderId="0" xfId="5" applyFont="1">
      <alignment vertical="top" wrapText="1"/>
    </xf>
    <xf numFmtId="0" fontId="110" fillId="22" borderId="6" xfId="5" applyFont="1" applyFill="1" applyBorder="1" applyAlignment="1">
      <alignment horizontal="center" vertical="center" wrapText="1"/>
    </xf>
    <xf numFmtId="0" fontId="90" fillId="22" borderId="43" xfId="0" applyFont="1" applyFill="1" applyBorder="1" applyAlignment="1">
      <alignment horizontal="center" vertical="center" wrapText="1"/>
    </xf>
    <xf numFmtId="0" fontId="90" fillId="22" borderId="2" xfId="0" applyFont="1" applyFill="1" applyBorder="1" applyAlignment="1">
      <alignment horizontal="center" vertical="center"/>
    </xf>
    <xf numFmtId="49" fontId="90" fillId="22" borderId="2" xfId="0" applyNumberFormat="1" applyFont="1" applyFill="1" applyBorder="1" applyAlignment="1">
      <alignment horizontal="center" vertical="center"/>
    </xf>
    <xf numFmtId="0" fontId="12" fillId="22" borderId="2" xfId="0" applyFont="1" applyFill="1" applyBorder="1" applyAlignment="1">
      <alignment horizontal="center" vertical="center"/>
    </xf>
    <xf numFmtId="0" fontId="75" fillId="34" borderId="1" xfId="0" applyFont="1" applyFill="1" applyBorder="1" applyAlignment="1">
      <alignment horizontal="left" vertical="center"/>
    </xf>
    <xf numFmtId="0" fontId="10" fillId="0" borderId="1" xfId="0" applyFont="1" applyBorder="1"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xf>
    <xf numFmtId="0" fontId="11" fillId="10" borderId="1" xfId="0" applyFont="1" applyFill="1" applyBorder="1" applyAlignment="1">
      <alignment horizontal="center" vertical="center"/>
    </xf>
    <xf numFmtId="0" fontId="124" fillId="0" borderId="0" xfId="0" applyFont="1">
      <alignment vertical="top" wrapText="1"/>
    </xf>
    <xf numFmtId="0" fontId="0" fillId="0" borderId="4" xfId="0" applyBorder="1" applyAlignment="1">
      <alignment vertical="center" wrapText="1"/>
    </xf>
    <xf numFmtId="0" fontId="25" fillId="36" borderId="13" xfId="0" applyFont="1" applyFill="1" applyBorder="1" applyAlignment="1">
      <alignment horizontal="center" vertical="center"/>
    </xf>
    <xf numFmtId="0" fontId="2" fillId="0" borderId="0" xfId="0" applyFont="1" applyAlignment="1">
      <alignment horizontal="center" vertical="center"/>
    </xf>
    <xf numFmtId="0" fontId="0" fillId="3" borderId="1" xfId="0" applyFill="1" applyBorder="1" applyAlignment="1">
      <alignment vertical="center" wrapText="1"/>
    </xf>
    <xf numFmtId="9" fontId="0" fillId="3" borderId="1" xfId="0" applyNumberFormat="1" applyFill="1" applyBorder="1" applyAlignment="1">
      <alignment vertical="center" wrapText="1"/>
    </xf>
    <xf numFmtId="0" fontId="0" fillId="40" borderId="1" xfId="0" applyFill="1" applyBorder="1" applyAlignment="1">
      <alignment vertical="center" wrapText="1"/>
    </xf>
    <xf numFmtId="9" fontId="0" fillId="40" borderId="1" xfId="0" applyNumberFormat="1" applyFill="1" applyBorder="1" applyAlignment="1">
      <alignment vertical="center" wrapText="1"/>
    </xf>
    <xf numFmtId="0" fontId="0" fillId="0" borderId="4" xfId="0" applyBorder="1" applyAlignment="1"/>
    <xf numFmtId="0" fontId="111" fillId="22" borderId="50" xfId="5" applyFont="1" applyFill="1" applyBorder="1" applyAlignment="1">
      <alignment horizontal="center" vertical="center" wrapText="1"/>
    </xf>
    <xf numFmtId="0" fontId="111" fillId="22" borderId="4" xfId="5" applyFont="1" applyFill="1" applyBorder="1" applyAlignment="1">
      <alignment horizontal="center" vertical="center" wrapText="1"/>
    </xf>
    <xf numFmtId="0" fontId="111" fillId="22" borderId="18" xfId="5" applyFont="1" applyFill="1" applyBorder="1" applyAlignment="1">
      <alignment horizontal="center" vertical="center" wrapText="1"/>
    </xf>
    <xf numFmtId="0" fontId="125" fillId="24" borderId="6" xfId="5" applyFont="1" applyFill="1" applyBorder="1" applyAlignment="1">
      <alignment horizontal="center" vertical="center" wrapText="1"/>
    </xf>
    <xf numFmtId="0" fontId="107" fillId="0" borderId="1" xfId="5" applyFont="1" applyBorder="1" applyAlignment="1">
      <alignment horizontal="center" vertical="center" wrapText="1"/>
    </xf>
    <xf numFmtId="0" fontId="107" fillId="0" borderId="18" xfId="5" applyFont="1" applyBorder="1" applyAlignment="1">
      <alignment horizontal="center" vertical="center" wrapText="1"/>
    </xf>
    <xf numFmtId="0" fontId="125" fillId="10" borderId="6" xfId="5" applyFont="1" applyFill="1" applyBorder="1" applyAlignment="1">
      <alignment horizontal="center" vertical="center" wrapText="1"/>
    </xf>
    <xf numFmtId="0" fontId="125" fillId="22" borderId="52" xfId="5" applyFont="1" applyFill="1" applyBorder="1" applyAlignment="1">
      <alignment horizontal="center" vertical="center" wrapText="1"/>
    </xf>
    <xf numFmtId="0" fontId="125" fillId="0" borderId="34" xfId="5" applyFont="1" applyBorder="1" applyAlignment="1">
      <alignment horizontal="center" vertical="center" wrapText="1"/>
    </xf>
    <xf numFmtId="0" fontId="125" fillId="0" borderId="29" xfId="5" applyFont="1" applyBorder="1" applyAlignment="1">
      <alignment horizontal="center" vertical="center" wrapText="1"/>
    </xf>
    <xf numFmtId="0" fontId="111" fillId="22" borderId="6" xfId="5" applyFont="1" applyFill="1" applyBorder="1" applyAlignment="1">
      <alignment horizontal="center" vertical="center"/>
    </xf>
    <xf numFmtId="0" fontId="107" fillId="0" borderId="56" xfId="5" applyFont="1" applyBorder="1" applyAlignment="1">
      <alignment horizontal="center" vertical="center" wrapText="1"/>
    </xf>
    <xf numFmtId="0" fontId="107" fillId="38" borderId="6" xfId="5" applyFont="1" applyFill="1" applyBorder="1" applyAlignment="1">
      <alignment horizontal="center" vertical="center"/>
    </xf>
    <xf numFmtId="0" fontId="107" fillId="38" borderId="52" xfId="5" applyFont="1" applyFill="1" applyBorder="1" applyAlignment="1">
      <alignment horizontal="center" vertical="center"/>
    </xf>
    <xf numFmtId="0" fontId="111" fillId="22" borderId="16" xfId="5" applyFont="1" applyFill="1" applyBorder="1" applyAlignment="1">
      <alignment horizontal="center" vertical="center" wrapText="1"/>
    </xf>
    <xf numFmtId="0" fontId="111" fillId="22" borderId="5" xfId="5" applyFont="1" applyFill="1" applyBorder="1" applyAlignment="1">
      <alignment horizontal="center" vertical="center" wrapText="1"/>
    </xf>
    <xf numFmtId="0" fontId="111" fillId="22" borderId="17" xfId="5" applyFont="1" applyFill="1" applyBorder="1" applyAlignment="1">
      <alignment horizontal="center" vertical="center" wrapText="1"/>
    </xf>
    <xf numFmtId="0" fontId="110" fillId="24" borderId="6" xfId="5" applyFont="1" applyFill="1" applyBorder="1" applyAlignment="1">
      <alignment horizontal="center" vertical="center" wrapText="1"/>
    </xf>
    <xf numFmtId="0" fontId="107" fillId="31" borderId="52" xfId="5" applyFont="1" applyFill="1" applyBorder="1" applyAlignment="1">
      <alignment horizontal="center" vertical="center" wrapText="1"/>
    </xf>
    <xf numFmtId="0" fontId="107" fillId="0" borderId="46" xfId="5" applyFont="1" applyBorder="1" applyAlignment="1">
      <alignment horizontal="center" vertical="center" wrapText="1"/>
    </xf>
    <xf numFmtId="0" fontId="111" fillId="22" borderId="1" xfId="0" applyFont="1" applyFill="1" applyBorder="1" applyAlignment="1">
      <alignment horizontal="center" vertical="center" wrapText="1"/>
    </xf>
    <xf numFmtId="0" fontId="110" fillId="22" borderId="0" xfId="5" applyFont="1" applyFill="1" applyAlignment="1">
      <alignment vertical="center" wrapText="1"/>
    </xf>
    <xf numFmtId="0" fontId="110" fillId="0" borderId="0" xfId="5" applyFont="1" applyAlignment="1">
      <alignment vertical="center" wrapText="1"/>
    </xf>
    <xf numFmtId="0" fontId="111" fillId="0" borderId="0" xfId="5" applyFont="1" applyAlignment="1">
      <alignment vertical="center" wrapText="1"/>
    </xf>
    <xf numFmtId="0" fontId="121" fillId="0" borderId="18" xfId="5" applyFont="1" applyBorder="1" applyAlignment="1">
      <alignment horizontal="center" vertical="center" wrapText="1"/>
    </xf>
    <xf numFmtId="0" fontId="121" fillId="0" borderId="56" xfId="5" applyFont="1" applyBorder="1" applyAlignment="1">
      <alignment horizontal="center" vertical="center" wrapText="1"/>
    </xf>
    <xf numFmtId="0" fontId="106" fillId="41" borderId="1" xfId="5" applyFont="1" applyFill="1" applyBorder="1" applyAlignment="1">
      <alignment horizontal="center" vertical="center" wrapText="1"/>
    </xf>
    <xf numFmtId="0" fontId="106" fillId="10" borderId="18" xfId="5" applyFont="1" applyFill="1" applyBorder="1" applyAlignment="1">
      <alignment horizontal="center" vertical="center" wrapText="1"/>
    </xf>
    <xf numFmtId="0" fontId="111" fillId="22" borderId="6" xfId="0" applyFont="1" applyFill="1" applyBorder="1" applyAlignment="1">
      <alignment horizontal="center" vertical="center" wrapText="1"/>
    </xf>
    <xf numFmtId="0" fontId="107" fillId="38" borderId="6" xfId="0" applyFont="1" applyFill="1" applyBorder="1" applyAlignment="1">
      <alignment horizontal="center" vertical="center" wrapText="1"/>
    </xf>
    <xf numFmtId="0" fontId="107" fillId="38" borderId="52" xfId="0" applyFont="1" applyFill="1" applyBorder="1" applyAlignment="1">
      <alignment horizontal="center" vertical="center" wrapText="1"/>
    </xf>
    <xf numFmtId="0" fontId="125" fillId="24" borderId="69" xfId="5" applyFont="1" applyFill="1" applyBorder="1" applyAlignment="1">
      <alignment horizontal="center" vertical="center" wrapText="1"/>
    </xf>
    <xf numFmtId="0" fontId="125" fillId="10" borderId="69" xfId="5" applyFont="1" applyFill="1" applyBorder="1" applyAlignment="1">
      <alignment horizontal="center" vertical="center" wrapText="1"/>
    </xf>
    <xf numFmtId="0" fontId="125" fillId="22" borderId="70" xfId="5" applyFont="1" applyFill="1" applyBorder="1" applyAlignment="1">
      <alignment horizontal="center" vertical="center" wrapText="1"/>
    </xf>
    <xf numFmtId="0" fontId="111" fillId="22" borderId="6" xfId="5" applyFont="1" applyFill="1" applyBorder="1" applyAlignment="1">
      <alignment horizontal="center" vertical="center" wrapText="1"/>
    </xf>
    <xf numFmtId="0" fontId="111" fillId="22" borderId="1" xfId="5" applyFont="1" applyFill="1" applyBorder="1" applyAlignment="1">
      <alignment horizontal="center" vertical="center" wrapText="1"/>
    </xf>
    <xf numFmtId="0" fontId="111" fillId="22" borderId="27" xfId="5" applyFont="1" applyFill="1" applyBorder="1" applyAlignment="1">
      <alignment horizontal="center" vertical="center" wrapText="1"/>
    </xf>
    <xf numFmtId="14" fontId="14" fillId="7" borderId="2" xfId="2" applyNumberFormat="1" applyFont="1" applyFill="1" applyBorder="1" applyAlignment="1">
      <alignment vertical="center" wrapText="1"/>
    </xf>
    <xf numFmtId="14" fontId="16" fillId="0" borderId="2" xfId="2" applyNumberFormat="1" applyFont="1" applyBorder="1" applyAlignment="1">
      <alignment vertical="center" wrapText="1"/>
    </xf>
    <xf numFmtId="14" fontId="0" fillId="0" borderId="0" xfId="0" applyNumberFormat="1">
      <alignment vertical="top" wrapText="1"/>
    </xf>
    <xf numFmtId="0" fontId="2" fillId="22" borderId="0" xfId="5" applyFill="1">
      <alignment vertical="top" wrapText="1"/>
    </xf>
    <xf numFmtId="0" fontId="2" fillId="22" borderId="0" xfId="5" applyFill="1" applyAlignment="1">
      <alignment vertical="top"/>
    </xf>
    <xf numFmtId="0" fontId="105" fillId="22" borderId="0" xfId="5" applyFont="1" applyFill="1" applyAlignment="1">
      <alignment horizontal="center" vertical="center" wrapText="1"/>
    </xf>
    <xf numFmtId="0" fontId="35" fillId="22" borderId="0" xfId="5" applyFont="1" applyFill="1" applyAlignment="1">
      <alignment horizontal="center" vertical="center" wrapText="1"/>
    </xf>
    <xf numFmtId="0" fontId="18" fillId="22" borderId="0" xfId="5" applyFont="1" applyFill="1" applyAlignment="1">
      <alignment horizontal="center" vertical="center" wrapText="1"/>
    </xf>
    <xf numFmtId="0" fontId="18" fillId="22" borderId="0" xfId="5" applyFont="1" applyFill="1" applyAlignment="1">
      <alignment horizontal="center" vertical="center"/>
    </xf>
    <xf numFmtId="0" fontId="106" fillId="2" borderId="18" xfId="5" applyFont="1" applyFill="1" applyBorder="1" applyAlignment="1">
      <alignment horizontal="center" vertical="center" wrapText="1"/>
    </xf>
    <xf numFmtId="0" fontId="107" fillId="38" borderId="6" xfId="5" applyFont="1" applyFill="1" applyBorder="1" applyAlignment="1">
      <alignment vertical="center"/>
    </xf>
    <xf numFmtId="0" fontId="107" fillId="38" borderId="52" xfId="5" applyFont="1" applyFill="1" applyBorder="1" applyAlignment="1">
      <alignment vertical="center"/>
    </xf>
    <xf numFmtId="0" fontId="34" fillId="42" borderId="1" xfId="0" applyFont="1" applyFill="1" applyBorder="1" applyAlignment="1">
      <alignment vertical="center"/>
    </xf>
    <xf numFmtId="0" fontId="114" fillId="42" borderId="1" xfId="0" applyFont="1" applyFill="1" applyBorder="1" applyAlignment="1">
      <alignment vertical="center"/>
    </xf>
    <xf numFmtId="0" fontId="18" fillId="42" borderId="1" xfId="0" applyFont="1" applyFill="1" applyBorder="1" applyAlignment="1">
      <alignment horizontal="center" vertical="center"/>
    </xf>
    <xf numFmtId="0" fontId="91" fillId="28" borderId="1" xfId="0" applyFont="1" applyFill="1" applyBorder="1" applyAlignment="1">
      <alignment horizontal="left" vertical="center" wrapText="1"/>
    </xf>
    <xf numFmtId="0" fontId="129" fillId="0" borderId="1" xfId="0" applyFont="1" applyBorder="1" applyAlignment="1">
      <alignment horizontal="center" vertical="center" wrapText="1"/>
    </xf>
    <xf numFmtId="49" fontId="129" fillId="0" borderId="1" xfId="0" applyNumberFormat="1" applyFont="1" applyBorder="1" applyAlignment="1">
      <alignment horizontal="center" vertical="center" wrapText="1"/>
    </xf>
    <xf numFmtId="0" fontId="78" fillId="0" borderId="1" xfId="0" applyFont="1" applyBorder="1" applyAlignment="1">
      <alignment horizontal="center" vertical="center" wrapText="1"/>
    </xf>
    <xf numFmtId="0" fontId="90" fillId="12" borderId="1" xfId="0" applyFont="1" applyFill="1" applyBorder="1" applyAlignment="1">
      <alignment horizontal="center" vertical="center"/>
    </xf>
    <xf numFmtId="0" fontId="94" fillId="10" borderId="1" xfId="0" applyFont="1" applyFill="1" applyBorder="1" applyAlignment="1">
      <alignment horizontal="center" vertical="center"/>
    </xf>
    <xf numFmtId="0" fontId="91" fillId="28" borderId="1" xfId="0" applyFont="1" applyFill="1" applyBorder="1" applyAlignment="1">
      <alignment horizontal="left" vertical="top" wrapText="1"/>
    </xf>
    <xf numFmtId="0" fontId="90" fillId="11" borderId="1" xfId="0" applyFont="1" applyFill="1" applyBorder="1" applyAlignment="1">
      <alignment horizontal="center" vertical="center"/>
    </xf>
    <xf numFmtId="0" fontId="113" fillId="10" borderId="74" xfId="0" applyFont="1" applyFill="1" applyBorder="1" applyAlignment="1">
      <alignment horizontal="left" vertical="center"/>
    </xf>
    <xf numFmtId="0" fontId="130" fillId="0" borderId="0" xfId="0" applyFont="1" applyAlignment="1">
      <alignment vertical="center"/>
    </xf>
    <xf numFmtId="0" fontId="131" fillId="0" borderId="0" xfId="0" applyFont="1" applyAlignment="1"/>
    <xf numFmtId="0" fontId="25" fillId="36" borderId="1" xfId="0" applyFont="1" applyFill="1" applyBorder="1" applyAlignment="1">
      <alignment horizontal="center" vertical="center" wrapText="1"/>
    </xf>
    <xf numFmtId="0" fontId="25" fillId="36" borderId="49" xfId="0" applyFont="1" applyFill="1" applyBorder="1" applyAlignment="1">
      <alignment horizontal="left" vertical="center"/>
    </xf>
    <xf numFmtId="0" fontId="0" fillId="0" borderId="23" xfId="0" applyBorder="1" applyAlignment="1">
      <alignment vertical="center" wrapText="1"/>
    </xf>
    <xf numFmtId="0" fontId="0" fillId="0" borderId="2" xfId="0" applyBorder="1" applyAlignment="1">
      <alignment vertical="center" wrapText="1"/>
    </xf>
    <xf numFmtId="0" fontId="93" fillId="37" borderId="1" xfId="0" applyFont="1" applyFill="1" applyBorder="1" applyAlignment="1">
      <alignment horizontal="center" vertical="center"/>
    </xf>
    <xf numFmtId="0" fontId="19" fillId="0" borderId="1" xfId="0" applyFont="1" applyBorder="1" applyAlignment="1">
      <alignment horizontal="left" vertical="center" wrapText="1"/>
    </xf>
    <xf numFmtId="49" fontId="75" fillId="11" borderId="1" xfId="0" applyNumberFormat="1" applyFont="1" applyFill="1" applyBorder="1" applyAlignment="1">
      <alignment horizontal="center" vertical="center"/>
    </xf>
    <xf numFmtId="0" fontId="128" fillId="11" borderId="1" xfId="0" applyFont="1" applyFill="1" applyBorder="1" applyAlignment="1">
      <alignment horizontal="center" vertical="center"/>
    </xf>
    <xf numFmtId="0" fontId="132" fillId="11" borderId="1" xfId="0" applyFont="1" applyFill="1" applyBorder="1" applyAlignment="1">
      <alignment horizontal="left" vertical="center"/>
    </xf>
    <xf numFmtId="0" fontId="128" fillId="12" borderId="1" xfId="0" applyFont="1" applyFill="1" applyBorder="1" applyAlignment="1">
      <alignment horizontal="center" vertical="center"/>
    </xf>
    <xf numFmtId="0" fontId="92" fillId="29" borderId="1" xfId="0" applyFont="1" applyFill="1" applyBorder="1" applyAlignment="1">
      <alignment horizontal="center" vertical="center"/>
    </xf>
    <xf numFmtId="0" fontId="11" fillId="11" borderId="1" xfId="0" applyFont="1" applyFill="1" applyBorder="1" applyAlignment="1">
      <alignment horizontal="center" vertical="center"/>
    </xf>
    <xf numFmtId="0" fontId="100" fillId="3" borderId="1" xfId="0" applyFont="1" applyFill="1" applyBorder="1" applyAlignment="1">
      <alignment horizontal="left" vertical="center" wrapText="1"/>
    </xf>
    <xf numFmtId="0" fontId="115" fillId="10" borderId="1" xfId="0" applyFont="1" applyFill="1" applyBorder="1" applyAlignment="1">
      <alignment horizontal="center" vertical="center"/>
    </xf>
    <xf numFmtId="0" fontId="116" fillId="11" borderId="1" xfId="0" applyFont="1" applyFill="1" applyBorder="1" applyAlignment="1">
      <alignment horizontal="center" vertical="center"/>
    </xf>
    <xf numFmtId="0" fontId="34" fillId="43" borderId="1" xfId="0" applyFont="1" applyFill="1" applyBorder="1" applyAlignment="1">
      <alignment vertical="center"/>
    </xf>
    <xf numFmtId="0" fontId="114" fillId="43" borderId="1" xfId="0" applyFont="1" applyFill="1" applyBorder="1" applyAlignment="1">
      <alignment vertical="center"/>
    </xf>
    <xf numFmtId="0" fontId="18" fillId="43" borderId="1" xfId="0" applyFont="1" applyFill="1" applyBorder="1" applyAlignment="1">
      <alignment horizontal="center" vertical="center"/>
    </xf>
    <xf numFmtId="0" fontId="34" fillId="44" borderId="1" xfId="0" applyFont="1" applyFill="1" applyBorder="1" applyAlignment="1">
      <alignment vertical="center"/>
    </xf>
    <xf numFmtId="0" fontId="114" fillId="44" borderId="1" xfId="0" applyFont="1" applyFill="1" applyBorder="1" applyAlignment="1">
      <alignment vertical="center"/>
    </xf>
    <xf numFmtId="0" fontId="18" fillId="44" borderId="1" xfId="0" applyFont="1" applyFill="1" applyBorder="1" applyAlignment="1">
      <alignment horizontal="center" vertical="center"/>
    </xf>
    <xf numFmtId="0" fontId="34" fillId="31" borderId="1" xfId="0" applyFont="1" applyFill="1" applyBorder="1" applyAlignment="1">
      <alignment vertical="center"/>
    </xf>
    <xf numFmtId="0" fontId="114" fillId="31" borderId="1" xfId="0" applyFont="1" applyFill="1" applyBorder="1" applyAlignment="1">
      <alignment vertical="center"/>
    </xf>
    <xf numFmtId="0" fontId="18" fillId="31" borderId="1" xfId="0" applyFont="1" applyFill="1" applyBorder="1" applyAlignment="1">
      <alignment horizontal="center" vertical="center"/>
    </xf>
    <xf numFmtId="9" fontId="106" fillId="45" borderId="1" xfId="6" applyFont="1" applyFill="1" applyBorder="1" applyAlignment="1">
      <alignment horizontal="center" vertical="center" wrapText="1"/>
    </xf>
    <xf numFmtId="9" fontId="106" fillId="2" borderId="1" xfId="6" applyFont="1" applyFill="1" applyBorder="1" applyAlignment="1">
      <alignment horizontal="center" vertical="center" wrapText="1"/>
    </xf>
    <xf numFmtId="9" fontId="106" fillId="0" borderId="18" xfId="6" applyFont="1" applyBorder="1" applyAlignment="1">
      <alignment horizontal="center" vertical="center" wrapText="1"/>
    </xf>
    <xf numFmtId="0" fontId="108" fillId="34" borderId="31" xfId="5" applyFont="1" applyFill="1" applyBorder="1" applyAlignment="1">
      <alignment vertical="center" wrapText="1"/>
    </xf>
    <xf numFmtId="0" fontId="108" fillId="34" borderId="32" xfId="5" applyFont="1" applyFill="1" applyBorder="1" applyAlignment="1">
      <alignment vertical="center" wrapText="1"/>
    </xf>
    <xf numFmtId="0" fontId="108" fillId="34" borderId="33" xfId="5" applyFont="1" applyFill="1" applyBorder="1" applyAlignment="1">
      <alignment vertical="center" wrapText="1"/>
    </xf>
    <xf numFmtId="0" fontId="108" fillId="34" borderId="34" xfId="5" applyFont="1" applyFill="1" applyBorder="1" applyAlignment="1">
      <alignment vertical="center" wrapText="1"/>
    </xf>
    <xf numFmtId="0" fontId="108" fillId="34" borderId="0" xfId="5" applyFont="1" applyFill="1" applyAlignment="1">
      <alignment vertical="center" wrapText="1"/>
    </xf>
    <xf numFmtId="0" fontId="108" fillId="34" borderId="49" xfId="5" applyFont="1" applyFill="1" applyBorder="1" applyAlignment="1">
      <alignment vertical="center" wrapText="1"/>
    </xf>
    <xf numFmtId="0" fontId="75" fillId="34" borderId="34" xfId="5" applyFont="1" applyFill="1" applyBorder="1" applyAlignment="1">
      <alignment vertical="center" wrapText="1"/>
    </xf>
    <xf numFmtId="0" fontId="75" fillId="34" borderId="0" xfId="5" applyFont="1" applyFill="1" applyAlignment="1">
      <alignment vertical="center" wrapText="1"/>
    </xf>
    <xf numFmtId="0" fontId="75" fillId="34" borderId="49" xfId="5" applyFont="1" applyFill="1" applyBorder="1" applyAlignment="1">
      <alignment vertical="center" wrapText="1"/>
    </xf>
    <xf numFmtId="0" fontId="75" fillId="34" borderId="29" xfId="5" applyFont="1" applyFill="1" applyBorder="1" applyAlignment="1">
      <alignment vertical="center" wrapText="1"/>
    </xf>
    <xf numFmtId="0" fontId="75" fillId="34" borderId="30" xfId="5" applyFont="1" applyFill="1" applyBorder="1" applyAlignment="1">
      <alignment vertical="center" wrapText="1"/>
    </xf>
    <xf numFmtId="0" fontId="75" fillId="34" borderId="13" xfId="5" applyFont="1" applyFill="1" applyBorder="1" applyAlignment="1">
      <alignment vertical="center" wrapText="1"/>
    </xf>
    <xf numFmtId="0" fontId="111" fillId="3" borderId="0" xfId="5" applyFont="1" applyFill="1" applyAlignment="1">
      <alignment horizontal="center" vertical="center"/>
    </xf>
    <xf numFmtId="0" fontId="111" fillId="3" borderId="0" xfId="5" applyFont="1" applyFill="1" applyAlignment="1">
      <alignment horizontal="center" vertical="center" wrapText="1"/>
    </xf>
    <xf numFmtId="0" fontId="110" fillId="3" borderId="0" xfId="5" applyFont="1" applyFill="1" applyAlignment="1">
      <alignment vertical="center"/>
    </xf>
    <xf numFmtId="9" fontId="123" fillId="3" borderId="0" xfId="6" applyFont="1" applyFill="1" applyBorder="1" applyAlignment="1">
      <alignment horizontal="center" vertical="center" wrapText="1"/>
    </xf>
    <xf numFmtId="0" fontId="123" fillId="24" borderId="1" xfId="5" applyFont="1" applyFill="1" applyBorder="1" applyAlignment="1">
      <alignment vertical="center" wrapText="1"/>
    </xf>
    <xf numFmtId="0" fontId="121" fillId="10" borderId="1" xfId="5" applyFont="1" applyFill="1" applyBorder="1" applyAlignment="1">
      <alignment vertical="center" wrapText="1"/>
    </xf>
    <xf numFmtId="0" fontId="121" fillId="22" borderId="1" xfId="5" applyFont="1" applyFill="1" applyBorder="1" applyAlignment="1">
      <alignment vertical="center" wrapText="1"/>
    </xf>
    <xf numFmtId="6" fontId="0" fillId="0" borderId="1" xfId="0" applyNumberFormat="1" applyBorder="1" applyAlignment="1">
      <alignment vertical="center" wrapText="1"/>
    </xf>
    <xf numFmtId="0" fontId="75" fillId="0" borderId="0" xfId="0" applyFont="1" applyAlignment="1">
      <alignment horizontal="center" vertical="center"/>
    </xf>
    <xf numFmtId="0" fontId="116" fillId="46" borderId="1" xfId="0" applyFont="1" applyFill="1" applyBorder="1" applyAlignment="1">
      <alignment horizontal="center" vertical="center"/>
    </xf>
    <xf numFmtId="0" fontId="19" fillId="32" borderId="1" xfId="0" applyFont="1" applyFill="1" applyBorder="1" applyAlignment="1">
      <alignment vertical="center" wrapText="1"/>
    </xf>
    <xf numFmtId="0" fontId="19" fillId="42" borderId="1" xfId="0" applyFont="1" applyFill="1" applyBorder="1" applyAlignment="1">
      <alignment vertical="center" wrapText="1"/>
    </xf>
    <xf numFmtId="0" fontId="19" fillId="43" borderId="1" xfId="0" applyFont="1" applyFill="1" applyBorder="1" applyAlignment="1">
      <alignment vertical="center" wrapText="1"/>
    </xf>
    <xf numFmtId="0" fontId="19" fillId="44" borderId="1" xfId="0" applyFont="1" applyFill="1" applyBorder="1" applyAlignment="1">
      <alignment vertical="center" wrapText="1"/>
    </xf>
    <xf numFmtId="0" fontId="19" fillId="31" borderId="1" xfId="0" applyFont="1" applyFill="1" applyBorder="1" applyAlignment="1">
      <alignment vertical="center" wrapText="1"/>
    </xf>
    <xf numFmtId="0" fontId="10" fillId="0" borderId="1" xfId="0" applyFont="1" applyBorder="1" applyAlignment="1">
      <alignment horizontal="center" vertical="center"/>
    </xf>
    <xf numFmtId="0" fontId="133" fillId="2" borderId="1" xfId="0" applyFont="1" applyFill="1" applyBorder="1" applyAlignment="1">
      <alignment horizontal="center" vertical="center" wrapText="1"/>
    </xf>
    <xf numFmtId="0" fontId="133" fillId="0" borderId="1" xfId="0" applyFont="1" applyBorder="1" applyAlignment="1">
      <alignment vertical="center" wrapText="1"/>
    </xf>
    <xf numFmtId="0" fontId="2" fillId="3" borderId="1" xfId="5" applyFill="1" applyBorder="1" applyAlignment="1">
      <alignment vertical="center" wrapText="1"/>
    </xf>
    <xf numFmtId="17" fontId="13" fillId="3" borderId="1" xfId="5" applyNumberFormat="1" applyFont="1" applyFill="1" applyBorder="1" applyAlignment="1">
      <alignment horizontal="center" vertical="center" wrapText="1"/>
    </xf>
    <xf numFmtId="0" fontId="13" fillId="3" borderId="1" xfId="5" applyFont="1" applyFill="1" applyBorder="1">
      <alignment vertical="top" wrapText="1"/>
    </xf>
    <xf numFmtId="0" fontId="117" fillId="3" borderId="1" xfId="5" applyFont="1" applyFill="1" applyBorder="1" applyAlignment="1">
      <alignment vertical="center" wrapText="1"/>
    </xf>
    <xf numFmtId="6" fontId="2" fillId="3" borderId="1" xfId="5" applyNumberFormat="1" applyFill="1" applyBorder="1" applyAlignment="1">
      <alignment vertical="center" wrapText="1"/>
    </xf>
    <xf numFmtId="9" fontId="2" fillId="3" borderId="1" xfId="5" applyNumberFormat="1" applyFill="1" applyBorder="1" applyAlignment="1">
      <alignment vertical="center" wrapText="1"/>
    </xf>
    <xf numFmtId="0" fontId="13" fillId="3" borderId="0" xfId="5" applyFont="1" applyFill="1" applyAlignment="1">
      <alignment vertical="center" wrapText="1"/>
    </xf>
    <xf numFmtId="0" fontId="31" fillId="0" borderId="1" xfId="5" applyFont="1" applyBorder="1">
      <alignment vertical="top" wrapText="1"/>
    </xf>
    <xf numFmtId="0" fontId="13" fillId="47" borderId="1" xfId="5" applyFont="1" applyFill="1" applyBorder="1" applyAlignment="1">
      <alignment vertical="center" wrapText="1"/>
    </xf>
    <xf numFmtId="0" fontId="33" fillId="0" borderId="1" xfId="0" applyFont="1" applyBorder="1" applyAlignment="1">
      <alignment horizontal="center" vertical="center" wrapText="1"/>
    </xf>
    <xf numFmtId="0" fontId="33" fillId="0" borderId="1" xfId="0" applyFont="1" applyBorder="1" applyAlignment="1">
      <alignment horizontal="center" vertical="top" wrapText="1"/>
    </xf>
    <xf numFmtId="49" fontId="18" fillId="32" borderId="1" xfId="0" applyNumberFormat="1" applyFont="1" applyFill="1" applyBorder="1" applyAlignment="1">
      <alignment horizontal="center" vertical="center"/>
    </xf>
    <xf numFmtId="0" fontId="134" fillId="22" borderId="4" xfId="0" applyFont="1" applyFill="1" applyBorder="1" applyAlignment="1">
      <alignment horizontal="left" vertical="center" wrapText="1"/>
    </xf>
    <xf numFmtId="0" fontId="19" fillId="0" borderId="23" xfId="0" applyFont="1" applyBorder="1" applyAlignment="1">
      <alignment vertical="center" wrapText="1"/>
    </xf>
    <xf numFmtId="0" fontId="2" fillId="0" borderId="23" xfId="0" applyFont="1" applyBorder="1">
      <alignment vertical="top" wrapText="1"/>
    </xf>
    <xf numFmtId="0" fontId="75" fillId="0" borderId="23" xfId="0" applyFont="1" applyBorder="1" applyAlignment="1">
      <alignment horizontal="left" vertical="center" wrapText="1" indent="4"/>
    </xf>
    <xf numFmtId="0" fontId="2" fillId="0" borderId="23" xfId="0" applyFont="1" applyBorder="1" applyAlignment="1">
      <alignment horizontal="left" vertical="center" wrapText="1" indent="5"/>
    </xf>
    <xf numFmtId="0" fontId="2" fillId="0" borderId="23" xfId="0" applyFont="1" applyBorder="1" applyAlignment="1">
      <alignment horizontal="left" vertical="center" wrapText="1" indent="9"/>
    </xf>
    <xf numFmtId="0" fontId="75" fillId="0" borderId="23" xfId="0" applyFont="1" applyBorder="1" applyAlignment="1">
      <alignment vertical="center" wrapText="1"/>
    </xf>
    <xf numFmtId="0" fontId="19" fillId="0" borderId="23" xfId="0" applyFont="1" applyBorder="1" applyAlignment="1">
      <alignment horizontal="left" vertical="center" wrapText="1" indent="1"/>
    </xf>
    <xf numFmtId="0" fontId="19" fillId="0" borderId="23" xfId="0" applyFont="1" applyBorder="1" applyAlignment="1">
      <alignment horizontal="left" vertical="center" wrapText="1" indent="2"/>
    </xf>
    <xf numFmtId="0" fontId="19" fillId="0" borderId="23" xfId="0" applyFont="1" applyBorder="1" applyAlignment="1">
      <alignment horizontal="left" vertical="center" wrapText="1" indent="3"/>
    </xf>
    <xf numFmtId="0" fontId="19" fillId="0" borderId="23" xfId="0" applyFont="1" applyBorder="1" applyAlignment="1">
      <alignment horizontal="left" vertical="center" wrapText="1" indent="9"/>
    </xf>
    <xf numFmtId="0" fontId="2" fillId="0" borderId="2" xfId="0" applyFont="1" applyBorder="1">
      <alignment vertical="top" wrapText="1"/>
    </xf>
    <xf numFmtId="0" fontId="78" fillId="48" borderId="1" xfId="0" applyFont="1" applyFill="1" applyBorder="1" applyAlignment="1">
      <alignment horizontal="center" vertical="center" wrapText="1"/>
    </xf>
    <xf numFmtId="0" fontId="140" fillId="33" borderId="1" xfId="0" applyFont="1" applyFill="1" applyBorder="1" applyAlignment="1">
      <alignment horizontal="center" vertical="center"/>
    </xf>
    <xf numFmtId="0" fontId="141" fillId="0" borderId="0" xfId="0" applyFont="1" applyAlignment="1">
      <alignment horizontal="center" vertical="center"/>
      <extLst>
        <ext xmlns:xfpb="http://schemas.microsoft.com/office/spreadsheetml/2022/featurepropertybag" uri="{C7286773-470A-42A8-94C5-96B5CB345126}">
          <xfpb:xfComplement i="0"/>
        </ext>
      </extLst>
    </xf>
    <xf numFmtId="0" fontId="27" fillId="23" borderId="35" xfId="5" applyFont="1" applyFill="1" applyBorder="1" applyAlignment="1">
      <alignment horizontal="center" vertical="center" wrapText="1"/>
    </xf>
    <xf numFmtId="0" fontId="27" fillId="23" borderId="35" xfId="1" applyFont="1" applyFill="1" applyBorder="1" applyAlignment="1">
      <alignment horizontal="center" vertical="center" wrapText="1"/>
    </xf>
    <xf numFmtId="0" fontId="27" fillId="23" borderId="23" xfId="1" applyFont="1" applyFill="1" applyBorder="1" applyAlignment="1">
      <alignment horizontal="center" vertical="center"/>
    </xf>
    <xf numFmtId="0" fontId="27" fillId="23" borderId="4" xfId="1" applyFont="1" applyFill="1" applyBorder="1" applyAlignment="1">
      <alignment horizontal="center" vertical="center" wrapText="1"/>
    </xf>
    <xf numFmtId="0" fontId="27" fillId="23" borderId="8" xfId="1" applyFont="1" applyFill="1" applyBorder="1" applyAlignment="1">
      <alignment horizontal="center" vertical="center" wrapText="1"/>
    </xf>
    <xf numFmtId="0" fontId="27" fillId="23" borderId="4" xfId="1" applyFont="1" applyFill="1" applyBorder="1" applyAlignment="1">
      <alignment horizontal="center" vertical="center"/>
    </xf>
    <xf numFmtId="0" fontId="12" fillId="22" borderId="4" xfId="1" applyFont="1" applyFill="1" applyBorder="1" applyAlignment="1">
      <alignment horizontal="center" vertical="center" wrapText="1"/>
    </xf>
    <xf numFmtId="14" fontId="13" fillId="3" borderId="1" xfId="5" applyNumberFormat="1" applyFont="1" applyFill="1" applyBorder="1" applyAlignment="1">
      <alignment horizontal="center" vertical="center" wrapText="1"/>
    </xf>
    <xf numFmtId="14" fontId="13" fillId="3" borderId="1" xfId="5" applyNumberFormat="1" applyFont="1" applyFill="1" applyBorder="1" applyAlignment="1">
      <alignment horizontal="left" vertical="top" wrapText="1"/>
    </xf>
    <xf numFmtId="167" fontId="2" fillId="0" borderId="1" xfId="5" applyNumberFormat="1" applyBorder="1" applyAlignment="1">
      <alignment vertical="center" wrapText="1"/>
    </xf>
    <xf numFmtId="17" fontId="13" fillId="0" borderId="1" xfId="5" applyNumberFormat="1" applyFont="1" applyBorder="1" applyAlignment="1">
      <alignment horizontal="center" vertical="center" wrapText="1"/>
    </xf>
    <xf numFmtId="6" fontId="13" fillId="0" borderId="1" xfId="5" applyNumberFormat="1" applyFont="1" applyBorder="1" applyAlignment="1">
      <alignment vertical="center" wrapText="1"/>
    </xf>
    <xf numFmtId="9" fontId="13" fillId="0" borderId="1" xfId="5" applyNumberFormat="1" applyFont="1" applyBorder="1" applyAlignment="1">
      <alignment vertical="center" wrapText="1"/>
    </xf>
    <xf numFmtId="14" fontId="13" fillId="0" borderId="1" xfId="5" applyNumberFormat="1" applyFont="1" applyBorder="1" applyAlignment="1">
      <alignment horizontal="center" vertical="center" wrapText="1"/>
    </xf>
    <xf numFmtId="14" fontId="13" fillId="0" borderId="1" xfId="5" applyNumberFormat="1" applyFont="1" applyBorder="1" applyAlignment="1">
      <alignment horizontal="left" vertical="top" wrapText="1"/>
    </xf>
    <xf numFmtId="0" fontId="117" fillId="3" borderId="1" xfId="5" applyFont="1" applyFill="1" applyBorder="1" applyAlignment="1">
      <alignment horizontal="left" vertical="center" wrapText="1"/>
    </xf>
    <xf numFmtId="0" fontId="119" fillId="0" borderId="1" xfId="5" applyFont="1" applyBorder="1" applyAlignment="1">
      <alignment vertical="center" wrapText="1"/>
    </xf>
    <xf numFmtId="0" fontId="34" fillId="14" borderId="2" xfId="0" applyFont="1" applyFill="1" applyBorder="1" applyAlignment="1">
      <alignment horizontal="left" vertical="center" wrapText="1"/>
    </xf>
    <xf numFmtId="0" fontId="34" fillId="14" borderId="43" xfId="0" applyFont="1" applyFill="1" applyBorder="1" applyAlignment="1">
      <alignment horizontal="left" vertical="center" wrapText="1"/>
    </xf>
    <xf numFmtId="0" fontId="2" fillId="0" borderId="0" xfId="0" applyFont="1" applyAlignment="1">
      <alignment horizontal="center" vertical="center" wrapText="1"/>
    </xf>
    <xf numFmtId="10" fontId="2" fillId="0" borderId="0" xfId="0" applyNumberFormat="1" applyFont="1">
      <alignment vertical="top" wrapText="1"/>
    </xf>
    <xf numFmtId="49" fontId="11" fillId="38" borderId="1" xfId="6" applyNumberFormat="1" applyFont="1" applyFill="1" applyBorder="1" applyAlignment="1">
      <alignment horizontal="right" vertical="center"/>
    </xf>
    <xf numFmtId="0" fontId="11" fillId="12" borderId="1" xfId="6" applyNumberFormat="1" applyFont="1" applyFill="1" applyBorder="1" applyAlignment="1">
      <alignment horizontal="center" vertical="center"/>
    </xf>
    <xf numFmtId="164" fontId="8" fillId="22" borderId="10" xfId="0" applyNumberFormat="1" applyFont="1" applyFill="1" applyBorder="1" applyAlignment="1">
      <alignment horizontal="center" vertical="center" wrapText="1"/>
    </xf>
    <xf numFmtId="0" fontId="115" fillId="0" borderId="1" xfId="0" applyFont="1" applyBorder="1" applyAlignment="1">
      <alignment horizontal="center" vertical="center"/>
    </xf>
    <xf numFmtId="0" fontId="75" fillId="0" borderId="1" xfId="0" applyFont="1" applyBorder="1" applyAlignment="1">
      <alignment horizontal="center" vertical="center"/>
    </xf>
    <xf numFmtId="0" fontId="93" fillId="0" borderId="1" xfId="0" applyFont="1" applyBorder="1" applyAlignment="1">
      <alignment horizontal="center" vertical="center"/>
    </xf>
    <xf numFmtId="0" fontId="94" fillId="0" borderId="1" xfId="0" applyFont="1" applyBorder="1" applyAlignment="1">
      <alignment horizontal="center" vertical="center"/>
    </xf>
    <xf numFmtId="0" fontId="98" fillId="34" borderId="1" xfId="0" applyFont="1" applyFill="1" applyBorder="1" applyAlignment="1">
      <alignment horizontal="left" vertical="center"/>
    </xf>
    <xf numFmtId="0" fontId="0" fillId="0" borderId="1" xfId="0" applyBorder="1" applyAlignment="1">
      <alignment vertical="top"/>
    </xf>
    <xf numFmtId="0" fontId="11" fillId="0" borderId="1" xfId="0" applyFont="1" applyBorder="1" applyAlignment="1">
      <alignment vertical="center"/>
    </xf>
    <xf numFmtId="0" fontId="0" fillId="0" borderId="1" xfId="0" applyBorder="1" applyAlignment="1">
      <alignment horizontal="center" vertical="top"/>
    </xf>
    <xf numFmtId="0" fontId="11" fillId="0" borderId="1" xfId="0" applyFont="1" applyBorder="1" applyAlignment="1">
      <alignment horizontal="center" vertical="center"/>
    </xf>
    <xf numFmtId="9" fontId="2" fillId="0" borderId="1" xfId="0" applyNumberFormat="1" applyFont="1" applyBorder="1" applyAlignment="1">
      <alignment horizontal="center" vertical="center" wrapText="1"/>
    </xf>
    <xf numFmtId="0" fontId="142" fillId="0" borderId="1" xfId="0" applyFont="1" applyBorder="1" applyAlignment="1">
      <alignment horizontal="center" vertical="center" wrapText="1"/>
    </xf>
    <xf numFmtId="0" fontId="143" fillId="0" borderId="1" xfId="0" applyFont="1" applyBorder="1" applyAlignment="1">
      <alignment horizontal="center" vertical="center" wrapText="1"/>
    </xf>
    <xf numFmtId="0" fontId="127" fillId="31" borderId="10" xfId="5" applyFont="1" applyFill="1" applyBorder="1" applyAlignment="1">
      <alignment horizontal="center" vertical="center" wrapText="1"/>
    </xf>
    <xf numFmtId="0" fontId="127" fillId="31" borderId="11" xfId="5" applyFont="1" applyFill="1" applyBorder="1" applyAlignment="1">
      <alignment horizontal="center" vertical="center" wrapText="1"/>
    </xf>
    <xf numFmtId="0" fontId="127" fillId="31" borderId="12" xfId="5" applyFont="1" applyFill="1" applyBorder="1" applyAlignment="1">
      <alignment horizontal="center" vertical="center" wrapText="1"/>
    </xf>
    <xf numFmtId="0" fontId="126" fillId="24" borderId="32" xfId="5" applyFont="1" applyFill="1" applyBorder="1" applyAlignment="1">
      <alignment horizontal="center" vertical="center" wrapText="1"/>
    </xf>
    <xf numFmtId="0" fontId="126" fillId="24" borderId="33" xfId="5" applyFont="1" applyFill="1" applyBorder="1" applyAlignment="1">
      <alignment horizontal="center" vertical="center" wrapText="1"/>
    </xf>
    <xf numFmtId="0" fontId="126" fillId="24" borderId="0" xfId="5" applyFont="1" applyFill="1" applyAlignment="1">
      <alignment horizontal="center" vertical="center" wrapText="1"/>
    </xf>
    <xf numFmtId="0" fontId="126" fillId="24" borderId="49" xfId="5" applyFont="1" applyFill="1" applyBorder="1" applyAlignment="1">
      <alignment horizontal="center" vertical="center" wrapText="1"/>
    </xf>
    <xf numFmtId="0" fontId="110" fillId="34" borderId="32" xfId="5" applyFont="1" applyFill="1" applyBorder="1" applyAlignment="1">
      <alignment horizontal="center" vertical="center" wrapText="1"/>
    </xf>
    <xf numFmtId="0" fontId="110" fillId="34" borderId="33" xfId="5" applyFont="1" applyFill="1" applyBorder="1" applyAlignment="1">
      <alignment horizontal="center" vertical="center" wrapText="1"/>
    </xf>
    <xf numFmtId="0" fontId="110" fillId="34" borderId="0" xfId="5" applyFont="1" applyFill="1" applyAlignment="1">
      <alignment horizontal="center" vertical="center" wrapText="1"/>
    </xf>
    <xf numFmtId="0" fontId="110" fillId="34" borderId="49" xfId="5" applyFont="1" applyFill="1" applyBorder="1" applyAlignment="1">
      <alignment horizontal="center" vertical="center" wrapText="1"/>
    </xf>
    <xf numFmtId="0" fontId="110" fillId="34" borderId="34" xfId="5" applyFont="1" applyFill="1" applyBorder="1" applyAlignment="1">
      <alignment horizontal="center" vertical="center" wrapText="1"/>
    </xf>
    <xf numFmtId="0" fontId="110" fillId="34" borderId="29" xfId="5" applyFont="1" applyFill="1" applyBorder="1" applyAlignment="1">
      <alignment horizontal="center" vertical="center" wrapText="1"/>
    </xf>
    <xf numFmtId="0" fontId="110" fillId="34" borderId="13" xfId="5" applyFont="1" applyFill="1" applyBorder="1" applyAlignment="1">
      <alignment horizontal="center" vertical="center" wrapText="1"/>
    </xf>
    <xf numFmtId="0" fontId="109" fillId="23" borderId="31" xfId="5" applyFont="1" applyFill="1" applyBorder="1" applyAlignment="1">
      <alignment horizontal="center" vertical="center" wrapText="1"/>
    </xf>
    <xf numFmtId="0" fontId="109" fillId="23" borderId="32" xfId="5" applyFont="1" applyFill="1" applyBorder="1" applyAlignment="1">
      <alignment horizontal="center" vertical="center" wrapText="1"/>
    </xf>
    <xf numFmtId="0" fontId="109" fillId="23" borderId="33" xfId="5" applyFont="1" applyFill="1" applyBorder="1" applyAlignment="1">
      <alignment horizontal="center" vertical="center" wrapText="1"/>
    </xf>
    <xf numFmtId="0" fontId="109" fillId="23" borderId="48" xfId="5" applyFont="1" applyFill="1" applyBorder="1" applyAlignment="1">
      <alignment horizontal="center" vertical="center" wrapText="1"/>
    </xf>
    <xf numFmtId="0" fontId="109" fillId="23" borderId="42" xfId="5" applyFont="1" applyFill="1" applyBorder="1" applyAlignment="1">
      <alignment horizontal="center" vertical="center" wrapText="1"/>
    </xf>
    <xf numFmtId="0" fontId="109" fillId="23" borderId="51" xfId="5" applyFont="1" applyFill="1" applyBorder="1" applyAlignment="1">
      <alignment horizontal="center" vertical="center" wrapText="1"/>
    </xf>
    <xf numFmtId="0" fontId="126" fillId="24" borderId="30" xfId="5" applyFont="1" applyFill="1" applyBorder="1" applyAlignment="1">
      <alignment horizontal="center" vertical="center" wrapText="1"/>
    </xf>
    <xf numFmtId="0" fontId="126" fillId="24" borderId="13" xfId="5" applyFont="1" applyFill="1" applyBorder="1" applyAlignment="1">
      <alignment horizontal="center" vertical="center" wrapText="1"/>
    </xf>
    <xf numFmtId="0" fontId="110" fillId="34" borderId="30" xfId="5" applyFont="1" applyFill="1" applyBorder="1" applyAlignment="1">
      <alignment horizontal="center" vertical="center" wrapText="1"/>
    </xf>
    <xf numFmtId="0" fontId="111" fillId="22" borderId="8" xfId="5" applyFont="1" applyFill="1" applyBorder="1" applyAlignment="1">
      <alignment horizontal="center" vertical="center" wrapText="1"/>
    </xf>
    <xf numFmtId="0" fontId="111" fillId="22" borderId="68" xfId="5" applyFont="1" applyFill="1" applyBorder="1" applyAlignment="1">
      <alignment horizontal="center" vertical="center" wrapText="1"/>
    </xf>
    <xf numFmtId="0" fontId="107" fillId="0" borderId="67" xfId="5" applyFont="1" applyBorder="1" applyAlignment="1">
      <alignment horizontal="center" vertical="center" wrapText="1"/>
    </xf>
    <xf numFmtId="0" fontId="107" fillId="0" borderId="15" xfId="5" applyFont="1" applyBorder="1" applyAlignment="1">
      <alignment horizontal="center" vertical="center" wrapText="1"/>
    </xf>
    <xf numFmtId="0" fontId="127" fillId="31" borderId="63" xfId="5" applyFont="1" applyFill="1" applyBorder="1" applyAlignment="1">
      <alignment horizontal="center" vertical="center" wrapText="1"/>
    </xf>
    <xf numFmtId="0" fontId="127" fillId="31" borderId="64" xfId="5" applyFont="1" applyFill="1" applyBorder="1" applyAlignment="1">
      <alignment horizontal="center" vertical="center" wrapText="1"/>
    </xf>
    <xf numFmtId="0" fontId="127" fillId="31" borderId="65" xfId="5" applyFont="1" applyFill="1" applyBorder="1" applyAlignment="1">
      <alignment horizontal="center" vertical="center" wrapText="1"/>
    </xf>
    <xf numFmtId="0" fontId="110" fillId="24" borderId="50" xfId="5" applyFont="1" applyFill="1" applyBorder="1" applyAlignment="1">
      <alignment horizontal="center" vertical="center" wrapText="1"/>
    </xf>
    <xf numFmtId="0" fontId="110" fillId="24" borderId="57" xfId="5" applyFont="1" applyFill="1" applyBorder="1" applyAlignment="1">
      <alignment horizontal="center" vertical="center" wrapText="1"/>
    </xf>
    <xf numFmtId="0" fontId="107" fillId="0" borderId="4" xfId="5" applyFont="1" applyBorder="1" applyAlignment="1">
      <alignment horizontal="center" vertical="center" wrapText="1"/>
    </xf>
    <xf numFmtId="0" fontId="107" fillId="0" borderId="2" xfId="5" applyFont="1" applyBorder="1" applyAlignment="1">
      <alignment horizontal="center" vertical="center" wrapText="1"/>
    </xf>
    <xf numFmtId="0" fontId="107" fillId="10" borderId="50" xfId="5" applyFont="1" applyFill="1" applyBorder="1" applyAlignment="1">
      <alignment horizontal="center" vertical="center" wrapText="1"/>
    </xf>
    <xf numFmtId="0" fontId="107" fillId="10" borderId="57" xfId="5" applyFont="1" applyFill="1" applyBorder="1" applyAlignment="1">
      <alignment horizontal="center" vertical="center" wrapText="1"/>
    </xf>
    <xf numFmtId="0" fontId="109" fillId="23" borderId="1" xfId="5" applyFont="1" applyFill="1" applyBorder="1" applyAlignment="1">
      <alignment horizontal="center" vertical="center" wrapText="1"/>
    </xf>
    <xf numFmtId="0" fontId="111" fillId="24" borderId="34" xfId="5" applyFont="1" applyFill="1" applyBorder="1" applyAlignment="1">
      <alignment horizontal="center" vertical="center" wrapText="1"/>
    </xf>
    <xf numFmtId="0" fontId="111" fillId="24" borderId="0" xfId="5" applyFont="1" applyFill="1" applyAlignment="1">
      <alignment horizontal="center" vertical="center" wrapText="1"/>
    </xf>
    <xf numFmtId="0" fontId="111" fillId="24" borderId="29" xfId="5" applyFont="1" applyFill="1" applyBorder="1" applyAlignment="1">
      <alignment horizontal="center" vertical="center" wrapText="1"/>
    </xf>
    <xf numFmtId="0" fontId="111" fillId="24" borderId="30" xfId="5" applyFont="1" applyFill="1" applyBorder="1" applyAlignment="1">
      <alignment horizontal="center" vertical="center" wrapText="1"/>
    </xf>
    <xf numFmtId="0" fontId="109" fillId="0" borderId="31" xfId="5" applyFont="1" applyBorder="1" applyAlignment="1">
      <alignment horizontal="center" vertical="center" wrapText="1"/>
    </xf>
    <xf numFmtId="0" fontId="109" fillId="0" borderId="33" xfId="5" applyFont="1" applyBorder="1" applyAlignment="1">
      <alignment horizontal="center" vertical="center" wrapText="1"/>
    </xf>
    <xf numFmtId="0" fontId="109" fillId="0" borderId="29" xfId="5" applyFont="1" applyBorder="1" applyAlignment="1">
      <alignment horizontal="center" vertical="center" wrapText="1"/>
    </xf>
    <xf numFmtId="0" fontId="109" fillId="0" borderId="13" xfId="5" applyFont="1" applyBorder="1" applyAlignment="1">
      <alignment horizontal="center" vertical="center" wrapText="1"/>
    </xf>
    <xf numFmtId="0" fontId="111" fillId="22" borderId="1" xfId="5" applyFont="1" applyFill="1" applyBorder="1" applyAlignment="1">
      <alignment horizontal="center" vertical="center" wrapText="1"/>
    </xf>
    <xf numFmtId="0" fontId="109" fillId="23" borderId="34" xfId="5" applyFont="1" applyFill="1" applyBorder="1" applyAlignment="1">
      <alignment horizontal="center" vertical="center" wrapText="1"/>
    </xf>
    <xf numFmtId="0" fontId="109" fillId="23" borderId="0" xfId="5" applyFont="1" applyFill="1" applyAlignment="1">
      <alignment horizontal="center" vertical="center" wrapText="1"/>
    </xf>
    <xf numFmtId="0" fontId="109" fillId="23" borderId="49" xfId="5" applyFont="1" applyFill="1" applyBorder="1" applyAlignment="1">
      <alignment horizontal="center" vertical="center" wrapText="1"/>
    </xf>
    <xf numFmtId="0" fontId="84" fillId="2" borderId="0" xfId="5" applyFont="1" applyFill="1" applyAlignment="1">
      <alignment horizontal="center" vertical="center" wrapText="1"/>
    </xf>
    <xf numFmtId="0" fontId="84" fillId="2" borderId="30" xfId="5" applyFont="1" applyFill="1" applyBorder="1" applyAlignment="1">
      <alignment horizontal="center" vertical="center" wrapText="1"/>
    </xf>
    <xf numFmtId="0" fontId="85" fillId="22" borderId="35" xfId="5" applyFont="1" applyFill="1" applyBorder="1" applyAlignment="1">
      <alignment horizontal="center" vertical="center" wrapText="1"/>
    </xf>
    <xf numFmtId="0" fontId="85" fillId="22" borderId="0" xfId="5" applyFont="1" applyFill="1" applyAlignment="1">
      <alignment horizontal="center" vertical="center" wrapText="1"/>
    </xf>
    <xf numFmtId="0" fontId="89" fillId="22" borderId="35" xfId="5" applyFont="1" applyFill="1" applyBorder="1" applyAlignment="1">
      <alignment horizontal="center" vertical="center" wrapText="1"/>
    </xf>
    <xf numFmtId="0" fontId="89" fillId="22" borderId="0" xfId="5" applyFont="1" applyFill="1" applyAlignment="1">
      <alignment horizontal="center" vertical="center" wrapText="1"/>
    </xf>
    <xf numFmtId="0" fontId="126" fillId="24" borderId="31" xfId="5" applyFont="1" applyFill="1" applyBorder="1" applyAlignment="1">
      <alignment horizontal="center" vertical="center" wrapText="1"/>
    </xf>
    <xf numFmtId="0" fontId="126" fillId="24" borderId="29" xfId="5" applyFont="1" applyFill="1" applyBorder="1" applyAlignment="1">
      <alignment horizontal="center" vertical="center" wrapText="1"/>
    </xf>
    <xf numFmtId="0" fontId="2" fillId="34" borderId="31" xfId="5" applyFill="1" applyBorder="1" applyAlignment="1">
      <alignment horizontal="center" vertical="top" wrapText="1"/>
    </xf>
    <xf numFmtId="0" fontId="2" fillId="34" borderId="32" xfId="5" applyFill="1" applyBorder="1" applyAlignment="1">
      <alignment horizontal="center" vertical="top" wrapText="1"/>
    </xf>
    <xf numFmtId="0" fontId="2" fillId="34" borderId="33" xfId="5" applyFill="1" applyBorder="1" applyAlignment="1">
      <alignment horizontal="center" vertical="top" wrapText="1"/>
    </xf>
    <xf numFmtId="0" fontId="2" fillId="34" borderId="34" xfId="5" applyFill="1" applyBorder="1" applyAlignment="1">
      <alignment horizontal="center" vertical="top" wrapText="1"/>
    </xf>
    <xf numFmtId="0" fontId="2" fillId="34" borderId="0" xfId="5" applyFill="1" applyAlignment="1">
      <alignment horizontal="center" vertical="top" wrapText="1"/>
    </xf>
    <xf numFmtId="0" fontId="2" fillId="34" borderId="49" xfId="5" applyFill="1" applyBorder="1" applyAlignment="1">
      <alignment horizontal="center" vertical="top" wrapText="1"/>
    </xf>
    <xf numFmtId="0" fontId="2" fillId="34" borderId="29" xfId="5" applyFill="1" applyBorder="1" applyAlignment="1">
      <alignment horizontal="center" vertical="top" wrapText="1"/>
    </xf>
    <xf numFmtId="0" fontId="2" fillId="34" borderId="30" xfId="5" applyFill="1" applyBorder="1" applyAlignment="1">
      <alignment horizontal="center" vertical="top" wrapText="1"/>
    </xf>
    <xf numFmtId="0" fontId="2" fillId="34" borderId="13" xfId="5" applyFill="1" applyBorder="1" applyAlignment="1">
      <alignment horizontal="center" vertical="top" wrapText="1"/>
    </xf>
    <xf numFmtId="0" fontId="108" fillId="22" borderId="31" xfId="0" applyFont="1" applyFill="1" applyBorder="1" applyAlignment="1">
      <alignment horizontal="center" vertical="center" wrapText="1"/>
    </xf>
    <xf numFmtId="0" fontId="108" fillId="22" borderId="32" xfId="0" applyFont="1" applyFill="1" applyBorder="1" applyAlignment="1">
      <alignment horizontal="center" vertical="center" wrapText="1"/>
    </xf>
    <xf numFmtId="0" fontId="108" fillId="22" borderId="34" xfId="0" applyFont="1" applyFill="1" applyBorder="1" applyAlignment="1">
      <alignment horizontal="center" vertical="center" wrapText="1"/>
    </xf>
    <xf numFmtId="0" fontId="108" fillId="22" borderId="0" xfId="0" applyFont="1" applyFill="1" applyAlignment="1">
      <alignment horizontal="center" vertical="center" wrapText="1"/>
    </xf>
    <xf numFmtId="0" fontId="2" fillId="34" borderId="20" xfId="5" applyFill="1" applyBorder="1" applyAlignment="1">
      <alignment horizontal="center" vertical="top" wrapText="1"/>
    </xf>
    <xf numFmtId="0" fontId="2" fillId="34" borderId="35" xfId="5" applyFill="1" applyBorder="1" applyAlignment="1">
      <alignment horizontal="center" vertical="top" wrapText="1"/>
    </xf>
    <xf numFmtId="0" fontId="2" fillId="34" borderId="47" xfId="5" applyFill="1" applyBorder="1" applyAlignment="1">
      <alignment horizontal="center" vertical="top" wrapText="1"/>
    </xf>
    <xf numFmtId="0" fontId="126" fillId="24" borderId="32" xfId="0" applyFont="1" applyFill="1" applyBorder="1" applyAlignment="1">
      <alignment horizontal="center" vertical="center" wrapText="1"/>
    </xf>
    <xf numFmtId="0" fontId="126" fillId="24" borderId="33" xfId="0" applyFont="1" applyFill="1" applyBorder="1" applyAlignment="1">
      <alignment horizontal="center" vertical="center" wrapText="1"/>
    </xf>
    <xf numFmtId="0" fontId="126" fillId="24" borderId="30" xfId="0" applyFont="1" applyFill="1" applyBorder="1" applyAlignment="1">
      <alignment horizontal="center" vertical="center" wrapText="1"/>
    </xf>
    <xf numFmtId="0" fontId="126" fillId="24" borderId="13" xfId="0" applyFont="1" applyFill="1" applyBorder="1" applyAlignment="1">
      <alignment horizontal="center" vertical="center" wrapText="1"/>
    </xf>
    <xf numFmtId="0" fontId="107" fillId="10" borderId="1" xfId="5" applyFont="1" applyFill="1" applyBorder="1" applyAlignment="1">
      <alignment horizontal="center" vertical="center" wrapText="1"/>
    </xf>
    <xf numFmtId="0" fontId="2" fillId="34" borderId="43" xfId="5" applyFill="1" applyBorder="1" applyAlignment="1">
      <alignment horizontal="center" vertical="top" wrapText="1"/>
    </xf>
    <xf numFmtId="0" fontId="2" fillId="34" borderId="2" xfId="5" applyFill="1" applyBorder="1" applyAlignment="1">
      <alignment horizontal="center" vertical="top" wrapText="1"/>
    </xf>
    <xf numFmtId="0" fontId="2" fillId="34" borderId="73" xfId="5" applyFill="1" applyBorder="1" applyAlignment="1">
      <alignment horizontal="center" vertical="top" wrapText="1"/>
    </xf>
    <xf numFmtId="0" fontId="2" fillId="34" borderId="3" xfId="5" applyFill="1" applyBorder="1" applyAlignment="1">
      <alignment horizontal="center" vertical="top" wrapText="1"/>
    </xf>
    <xf numFmtId="0" fontId="2" fillId="34" borderId="1" xfId="5" applyFill="1" applyBorder="1" applyAlignment="1">
      <alignment horizontal="center" vertical="top" wrapText="1"/>
    </xf>
    <xf numFmtId="0" fontId="2" fillId="34" borderId="18" xfId="5" applyFill="1" applyBorder="1" applyAlignment="1">
      <alignment horizontal="center" vertical="top" wrapText="1"/>
    </xf>
    <xf numFmtId="0" fontId="2" fillId="34" borderId="66" xfId="5" applyFill="1" applyBorder="1" applyAlignment="1">
      <alignment horizontal="center" vertical="top" wrapText="1"/>
    </xf>
    <xf numFmtId="0" fontId="2" fillId="34" borderId="46" xfId="5" applyFill="1" applyBorder="1" applyAlignment="1">
      <alignment horizontal="center" vertical="top" wrapText="1"/>
    </xf>
    <xf numFmtId="0" fontId="2" fillId="34" borderId="56" xfId="5" applyFill="1" applyBorder="1" applyAlignment="1">
      <alignment horizontal="center" vertical="top" wrapText="1"/>
    </xf>
    <xf numFmtId="0" fontId="107" fillId="31" borderId="1" xfId="5" applyFont="1" applyFill="1" applyBorder="1" applyAlignment="1">
      <alignment horizontal="center" vertical="center" wrapText="1"/>
    </xf>
    <xf numFmtId="0" fontId="107" fillId="22" borderId="1" xfId="5" applyFont="1" applyFill="1" applyBorder="1" applyAlignment="1">
      <alignment horizontal="center" vertical="center" wrapText="1"/>
    </xf>
    <xf numFmtId="0" fontId="107" fillId="0" borderId="1" xfId="5" applyFont="1" applyBorder="1" applyAlignment="1">
      <alignment horizontal="center" vertical="center" wrapText="1"/>
    </xf>
    <xf numFmtId="0" fontId="107" fillId="22" borderId="50" xfId="5" applyFont="1" applyFill="1" applyBorder="1" applyAlignment="1">
      <alignment horizontal="center" vertical="center" wrapText="1"/>
    </xf>
    <xf numFmtId="0" fontId="107" fillId="22" borderId="71" xfId="5" applyFont="1" applyFill="1" applyBorder="1" applyAlignment="1">
      <alignment horizontal="center" vertical="center" wrapText="1"/>
    </xf>
    <xf numFmtId="0" fontId="107" fillId="0" borderId="72" xfId="5" applyFont="1" applyBorder="1" applyAlignment="1">
      <alignment horizontal="center" vertical="center" wrapText="1"/>
    </xf>
    <xf numFmtId="0" fontId="110" fillId="34" borderId="8" xfId="5" applyFont="1" applyFill="1" applyBorder="1" applyAlignment="1">
      <alignment horizontal="center" vertical="center" wrapText="1"/>
    </xf>
    <xf numFmtId="0" fontId="110" fillId="34" borderId="68" xfId="5" applyFont="1" applyFill="1" applyBorder="1" applyAlignment="1">
      <alignment horizontal="center" vertical="center" wrapText="1"/>
    </xf>
    <xf numFmtId="0" fontId="110" fillId="34" borderId="35" xfId="5" applyFont="1" applyFill="1" applyBorder="1" applyAlignment="1">
      <alignment horizontal="center" vertical="center" wrapText="1"/>
    </xf>
    <xf numFmtId="0" fontId="110" fillId="34" borderId="47" xfId="5" applyFont="1" applyFill="1" applyBorder="1" applyAlignment="1">
      <alignment horizontal="center" vertical="center" wrapText="1"/>
    </xf>
    <xf numFmtId="0" fontId="110" fillId="24" borderId="1" xfId="5" applyFont="1" applyFill="1" applyBorder="1" applyAlignment="1">
      <alignment horizontal="center" vertical="center" wrapText="1"/>
    </xf>
    <xf numFmtId="0" fontId="126" fillId="24" borderId="14" xfId="5" applyFont="1" applyFill="1" applyBorder="1" applyAlignment="1">
      <alignment horizontal="center" vertical="center" wrapText="1"/>
    </xf>
    <xf numFmtId="0" fontId="126" fillId="24" borderId="15" xfId="5" applyFont="1" applyFill="1" applyBorder="1" applyAlignment="1">
      <alignment horizontal="center" vertical="center" wrapText="1"/>
    </xf>
    <xf numFmtId="0" fontId="126" fillId="24" borderId="0" xfId="0" applyFont="1" applyFill="1" applyAlignment="1">
      <alignment horizontal="center" vertical="center" wrapText="1"/>
    </xf>
    <xf numFmtId="0" fontId="126" fillId="24" borderId="49" xfId="0" applyFont="1" applyFill="1" applyBorder="1" applyAlignment="1">
      <alignment horizontal="center" vertical="center" wrapText="1"/>
    </xf>
    <xf numFmtId="0" fontId="126" fillId="24" borderId="42" xfId="5" applyFont="1" applyFill="1" applyBorder="1" applyAlignment="1">
      <alignment horizontal="center" vertical="center" wrapText="1"/>
    </xf>
    <xf numFmtId="0" fontId="126" fillId="24" borderId="51" xfId="5" applyFont="1" applyFill="1" applyBorder="1" applyAlignment="1">
      <alignment horizontal="center" vertical="center" wrapText="1"/>
    </xf>
    <xf numFmtId="0" fontId="108" fillId="22" borderId="53" xfId="5" applyFont="1" applyFill="1" applyBorder="1" applyAlignment="1">
      <alignment horizontal="center" vertical="center" wrapText="1"/>
    </xf>
    <xf numFmtId="0" fontId="108" fillId="22" borderId="54" xfId="5" applyFont="1" applyFill="1" applyBorder="1" applyAlignment="1">
      <alignment horizontal="center" vertical="center" wrapText="1"/>
    </xf>
    <xf numFmtId="0" fontId="108" fillId="22" borderId="55" xfId="5" applyFont="1" applyFill="1" applyBorder="1" applyAlignment="1">
      <alignment horizontal="center" vertical="center" wrapText="1"/>
    </xf>
    <xf numFmtId="0" fontId="109" fillId="23" borderId="16" xfId="5" applyFont="1" applyFill="1" applyBorder="1" applyAlignment="1">
      <alignment horizontal="center" vertical="center" wrapText="1"/>
    </xf>
    <xf numFmtId="0" fontId="109" fillId="23" borderId="5" xfId="5" applyFont="1" applyFill="1" applyBorder="1" applyAlignment="1">
      <alignment horizontal="center" vertical="center" wrapText="1"/>
    </xf>
    <xf numFmtId="0" fontId="109" fillId="23" borderId="6" xfId="5" applyFont="1" applyFill="1" applyBorder="1" applyAlignment="1">
      <alignment horizontal="center" vertical="center" wrapText="1"/>
    </xf>
    <xf numFmtId="0" fontId="12" fillId="22" borderId="7" xfId="5" applyFont="1" applyFill="1" applyBorder="1" applyAlignment="1">
      <alignment horizontal="left" vertical="center"/>
    </xf>
    <xf numFmtId="0" fontId="12" fillId="22" borderId="28" xfId="5" applyFont="1" applyFill="1" applyBorder="1" applyAlignment="1">
      <alignment horizontal="left" vertical="center"/>
    </xf>
    <xf numFmtId="0" fontId="12" fillId="22" borderId="28" xfId="5" applyFont="1" applyFill="1" applyBorder="1" applyAlignment="1">
      <alignment horizontal="center" vertical="center"/>
    </xf>
    <xf numFmtId="0" fontId="12" fillId="22" borderId="3" xfId="5" applyFont="1" applyFill="1" applyBorder="1" applyAlignment="1">
      <alignment horizontal="left" vertical="center"/>
    </xf>
    <xf numFmtId="0" fontId="12" fillId="22" borderId="7" xfId="5" applyFont="1" applyFill="1" applyBorder="1" applyAlignment="1">
      <alignment horizontal="left" vertical="center" wrapText="1"/>
    </xf>
    <xf numFmtId="0" fontId="12" fillId="22" borderId="28" xfId="5" applyFont="1" applyFill="1" applyBorder="1" applyAlignment="1">
      <alignment horizontal="left" vertical="center" wrapText="1"/>
    </xf>
    <xf numFmtId="0" fontId="12" fillId="22" borderId="28" xfId="5" applyFont="1" applyFill="1" applyBorder="1" applyAlignment="1">
      <alignment horizontal="center" vertical="center" wrapText="1"/>
    </xf>
    <xf numFmtId="0" fontId="12" fillId="22" borderId="3" xfId="5" applyFont="1" applyFill="1" applyBorder="1" applyAlignment="1">
      <alignment horizontal="left" vertical="center" wrapText="1"/>
    </xf>
    <xf numFmtId="0" fontId="12" fillId="22" borderId="7" xfId="5" applyFont="1" applyFill="1" applyBorder="1" applyAlignment="1">
      <alignment vertical="center" wrapText="1"/>
    </xf>
    <xf numFmtId="0" fontId="12" fillId="9" borderId="28" xfId="5" applyFont="1" applyFill="1" applyBorder="1" applyAlignment="1">
      <alignment vertical="center" wrapText="1"/>
    </xf>
    <xf numFmtId="0" fontId="12" fillId="22" borderId="28" xfId="5" applyFont="1" applyFill="1" applyBorder="1" applyAlignment="1">
      <alignment vertical="center" wrapText="1"/>
    </xf>
    <xf numFmtId="0" fontId="12" fillId="22" borderId="3" xfId="5" applyFont="1" applyFill="1" applyBorder="1" applyAlignment="1">
      <alignment vertical="center" wrapText="1"/>
    </xf>
    <xf numFmtId="0" fontId="12" fillId="9" borderId="28" xfId="5" applyFont="1" applyFill="1" applyBorder="1" applyAlignment="1">
      <alignment horizontal="left" vertical="center" wrapText="1"/>
    </xf>
    <xf numFmtId="0" fontId="39" fillId="23" borderId="0" xfId="0" applyFont="1" applyFill="1" applyAlignment="1">
      <alignment horizontal="center" vertical="center" wrapText="1"/>
    </xf>
    <xf numFmtId="0" fontId="85" fillId="22" borderId="35" xfId="0" applyFont="1" applyFill="1" applyBorder="1" applyAlignment="1">
      <alignment horizontal="center" vertical="center" wrapText="1"/>
    </xf>
    <xf numFmtId="0" fontId="85" fillId="22" borderId="0" xfId="0" applyFont="1" applyFill="1" applyAlignment="1">
      <alignment horizontal="center" vertical="center" wrapText="1"/>
    </xf>
    <xf numFmtId="0" fontId="53" fillId="0" borderId="1" xfId="0" applyFont="1" applyBorder="1" applyAlignment="1">
      <alignment horizontal="center" vertical="center" wrapText="1"/>
    </xf>
    <xf numFmtId="0" fontId="27" fillId="0" borderId="1" xfId="0" applyFont="1" applyBorder="1" applyAlignment="1">
      <alignment horizontal="center" vertical="center" wrapText="1"/>
    </xf>
    <xf numFmtId="0" fontId="75" fillId="0" borderId="1" xfId="0" applyFont="1" applyBorder="1" applyAlignment="1">
      <alignment horizontal="center" vertical="top" wrapText="1"/>
    </xf>
    <xf numFmtId="0" fontId="39" fillId="0" borderId="1" xfId="0" applyFont="1" applyBorder="1" applyAlignment="1">
      <alignment horizontal="center" vertical="center" wrapText="1"/>
    </xf>
    <xf numFmtId="0" fontId="11" fillId="0" borderId="7" xfId="0" applyFont="1" applyBorder="1" applyAlignment="1">
      <alignment horizontal="center" vertical="top" wrapText="1"/>
    </xf>
    <xf numFmtId="0" fontId="11" fillId="0" borderId="28" xfId="0" applyFont="1" applyBorder="1" applyAlignment="1">
      <alignment horizontal="center" vertical="top" wrapText="1"/>
    </xf>
    <xf numFmtId="0" fontId="11" fillId="0" borderId="3" xfId="0" applyFont="1" applyBorder="1" applyAlignment="1">
      <alignment horizontal="center" vertical="top" wrapText="1"/>
    </xf>
    <xf numFmtId="0" fontId="19" fillId="0" borderId="0" xfId="0" applyFont="1" applyAlignment="1">
      <alignment horizontal="left" vertical="top" wrapText="1"/>
    </xf>
    <xf numFmtId="0" fontId="21" fillId="0" borderId="0" xfId="0" applyFont="1" applyAlignment="1">
      <alignment horizontal="left" vertical="top" wrapText="1"/>
    </xf>
    <xf numFmtId="0" fontId="41" fillId="0" borderId="0" xfId="0" applyFont="1">
      <alignment vertical="top" wrapText="1"/>
    </xf>
    <xf numFmtId="0" fontId="50" fillId="0" borderId="0" xfId="0" applyFont="1" applyAlignment="1">
      <alignment horizontal="center" vertical="center" wrapText="1"/>
    </xf>
    <xf numFmtId="0" fontId="39" fillId="0" borderId="0" xfId="0" applyFont="1" applyAlignment="1">
      <alignment horizontal="center" vertical="center" wrapText="1"/>
    </xf>
    <xf numFmtId="0" fontId="52" fillId="0" borderId="0" xfId="0" applyFont="1">
      <alignment vertical="top" wrapText="1"/>
    </xf>
    <xf numFmtId="10" fontId="44" fillId="0" borderId="0" xfId="0" applyNumberFormat="1" applyFont="1" applyAlignment="1">
      <alignment horizontal="right" vertical="top" wrapText="1"/>
    </xf>
    <xf numFmtId="0" fontId="46" fillId="0" borderId="0" xfId="0" applyFont="1">
      <alignment vertical="top" wrapText="1"/>
    </xf>
    <xf numFmtId="0" fontId="40" fillId="0" borderId="0" xfId="0" applyFont="1" applyAlignment="1">
      <alignment horizontal="center" vertical="center" wrapText="1"/>
    </xf>
    <xf numFmtId="0" fontId="44" fillId="0" borderId="0" xfId="0" applyFont="1" applyAlignment="1">
      <alignment horizontal="right" vertical="top" wrapText="1"/>
    </xf>
    <xf numFmtId="0" fontId="47" fillId="0" borderId="0" xfId="0" applyFont="1">
      <alignment vertical="top" wrapText="1"/>
    </xf>
    <xf numFmtId="9" fontId="44" fillId="0" borderId="0" xfId="0" applyNumberFormat="1" applyFont="1" applyAlignment="1">
      <alignment horizontal="right" vertical="top" wrapText="1"/>
    </xf>
    <xf numFmtId="0" fontId="48" fillId="0" borderId="0" xfId="0" applyFont="1">
      <alignment vertical="top" wrapText="1"/>
    </xf>
    <xf numFmtId="0" fontId="78" fillId="24" borderId="42" xfId="0" applyFont="1" applyFill="1" applyBorder="1" applyAlignment="1">
      <alignment horizontal="center" vertical="center"/>
    </xf>
    <xf numFmtId="0" fontId="89" fillId="22" borderId="7" xfId="0" applyFont="1" applyFill="1" applyBorder="1" applyAlignment="1">
      <alignment horizontal="center" vertical="center" wrapText="1"/>
    </xf>
    <xf numFmtId="0" fontId="89" fillId="22" borderId="28" xfId="0" applyFont="1" applyFill="1" applyBorder="1" applyAlignment="1">
      <alignment horizontal="center" vertical="center" wrapText="1"/>
    </xf>
    <xf numFmtId="0" fontId="39" fillId="0" borderId="7" xfId="0" applyFont="1" applyBorder="1" applyAlignment="1">
      <alignment horizontal="center" vertical="center" wrapText="1"/>
    </xf>
    <xf numFmtId="0" fontId="39" fillId="0" borderId="28" xfId="0" applyFont="1" applyBorder="1" applyAlignment="1">
      <alignment horizontal="center" vertical="center" wrapText="1"/>
    </xf>
    <xf numFmtId="0" fontId="39" fillId="0" borderId="3" xfId="0" applyFont="1" applyBorder="1" applyAlignment="1">
      <alignment horizontal="center" vertical="center" wrapText="1"/>
    </xf>
    <xf numFmtId="0" fontId="13" fillId="0" borderId="1" xfId="0" applyFont="1" applyBorder="1">
      <alignment vertical="top" wrapText="1"/>
    </xf>
    <xf numFmtId="10" fontId="63" fillId="0" borderId="1" xfId="0" applyNumberFormat="1" applyFont="1" applyBorder="1">
      <alignment vertical="top" wrapText="1"/>
    </xf>
    <xf numFmtId="0" fontId="65" fillId="0" borderId="1" xfId="0" applyFont="1" applyBorder="1">
      <alignment vertical="top" wrapText="1"/>
    </xf>
    <xf numFmtId="0" fontId="13" fillId="25" borderId="1" xfId="0" applyFont="1" applyFill="1" applyBorder="1">
      <alignment vertical="top" wrapText="1"/>
    </xf>
    <xf numFmtId="0" fontId="63" fillId="25" borderId="1" xfId="0" applyFont="1" applyFill="1" applyBorder="1" applyAlignment="1">
      <alignment horizontal="right" vertical="top" wrapText="1"/>
    </xf>
    <xf numFmtId="0" fontId="67" fillId="25" borderId="1" xfId="0" applyFont="1" applyFill="1" applyBorder="1">
      <alignment vertical="top" wrapText="1"/>
    </xf>
    <xf numFmtId="0" fontId="63" fillId="0" borderId="1" xfId="0" applyFont="1" applyBorder="1">
      <alignment vertical="top" wrapText="1"/>
    </xf>
    <xf numFmtId="9" fontId="63" fillId="25" borderId="1" xfId="0" applyNumberFormat="1" applyFont="1" applyFill="1" applyBorder="1">
      <alignment vertical="top" wrapText="1"/>
    </xf>
    <xf numFmtId="0" fontId="67" fillId="0" borderId="1" xfId="0" applyFont="1" applyBorder="1">
      <alignment vertical="top" wrapText="1"/>
    </xf>
    <xf numFmtId="0" fontId="27" fillId="25" borderId="4" xfId="0" applyFont="1" applyFill="1" applyBorder="1">
      <alignment vertical="top" wrapText="1"/>
    </xf>
    <xf numFmtId="0" fontId="27" fillId="25" borderId="2" xfId="0" applyFont="1" applyFill="1" applyBorder="1">
      <alignment vertical="top" wrapText="1"/>
    </xf>
    <xf numFmtId="0" fontId="67" fillId="25" borderId="4" xfId="0" applyFont="1" applyFill="1" applyBorder="1">
      <alignment vertical="top" wrapText="1"/>
    </xf>
    <xf numFmtId="0" fontId="67" fillId="25" borderId="2" xfId="0" applyFont="1" applyFill="1" applyBorder="1">
      <alignment vertical="top" wrapText="1"/>
    </xf>
    <xf numFmtId="0" fontId="13" fillId="25" borderId="4" xfId="0" applyFont="1" applyFill="1" applyBorder="1">
      <alignment vertical="top" wrapText="1"/>
    </xf>
    <xf numFmtId="0" fontId="13" fillId="25" borderId="2" xfId="0" applyFont="1" applyFill="1" applyBorder="1">
      <alignment vertical="top" wrapText="1"/>
    </xf>
    <xf numFmtId="0" fontId="62" fillId="25" borderId="1" xfId="0" applyFont="1" applyFill="1" applyBorder="1">
      <alignment vertical="top" wrapText="1"/>
    </xf>
    <xf numFmtId="0" fontId="62" fillId="25" borderId="2" xfId="0" applyFont="1" applyFill="1" applyBorder="1">
      <alignment vertical="top" wrapText="1"/>
    </xf>
    <xf numFmtId="0" fontId="63" fillId="25" borderId="2" xfId="0" applyFont="1" applyFill="1" applyBorder="1">
      <alignment vertical="top" wrapText="1"/>
    </xf>
    <xf numFmtId="0" fontId="63" fillId="25" borderId="1" xfId="0" applyFont="1" applyFill="1" applyBorder="1">
      <alignment vertical="top" wrapText="1"/>
    </xf>
    <xf numFmtId="0" fontId="65" fillId="25" borderId="2" xfId="0" applyFont="1" applyFill="1" applyBorder="1">
      <alignment vertical="top" wrapText="1"/>
    </xf>
    <xf numFmtId="0" fontId="65" fillId="25" borderId="1" xfId="0" applyFont="1" applyFill="1" applyBorder="1">
      <alignment vertical="top" wrapText="1"/>
    </xf>
    <xf numFmtId="0" fontId="62" fillId="14" borderId="1" xfId="0" applyFont="1" applyFill="1" applyBorder="1">
      <alignment vertical="top" wrapText="1"/>
    </xf>
    <xf numFmtId="0" fontId="63" fillId="14" borderId="1" xfId="0" applyFont="1" applyFill="1" applyBorder="1">
      <alignment vertical="top" wrapText="1"/>
    </xf>
    <xf numFmtId="0" fontId="65" fillId="14" borderId="1" xfId="0" applyFont="1" applyFill="1" applyBorder="1">
      <alignment vertical="top" wrapText="1"/>
    </xf>
    <xf numFmtId="0" fontId="68" fillId="0" borderId="1" xfId="0" applyFont="1" applyBorder="1">
      <alignment vertical="top" wrapText="1"/>
    </xf>
    <xf numFmtId="0" fontId="78" fillId="12" borderId="0" xfId="0" applyFont="1" applyFill="1" applyAlignment="1">
      <alignment horizontal="center" vertical="center" wrapText="1"/>
    </xf>
    <xf numFmtId="0" fontId="18" fillId="0" borderId="0" xfId="0" applyFont="1" applyAlignment="1">
      <alignment horizontal="center" vertical="center" wrapText="1"/>
    </xf>
    <xf numFmtId="0" fontId="70" fillId="0" borderId="0" xfId="0" applyFont="1" applyAlignment="1">
      <alignment horizontal="left" vertical="center" wrapText="1"/>
    </xf>
    <xf numFmtId="0" fontId="27" fillId="0" borderId="4" xfId="0" applyFont="1" applyBorder="1">
      <alignment vertical="top" wrapText="1"/>
    </xf>
    <xf numFmtId="0" fontId="27" fillId="0" borderId="2" xfId="0" applyFont="1" applyBorder="1">
      <alignment vertical="top" wrapText="1"/>
    </xf>
    <xf numFmtId="0" fontId="65" fillId="0" borderId="4" xfId="0" applyFont="1" applyBorder="1">
      <alignment vertical="top" wrapText="1"/>
    </xf>
    <xf numFmtId="0" fontId="65" fillId="0" borderId="2" xfId="0" applyFont="1" applyBorder="1">
      <alignment vertical="top" wrapText="1"/>
    </xf>
    <xf numFmtId="0" fontId="13" fillId="0" borderId="4" xfId="0" applyFont="1" applyBorder="1">
      <alignment vertical="top" wrapText="1"/>
    </xf>
    <xf numFmtId="0" fontId="13" fillId="0" borderId="2" xfId="0" applyFont="1" applyBorder="1">
      <alignment vertical="top" wrapText="1"/>
    </xf>
    <xf numFmtId="0" fontId="53" fillId="0" borderId="0" xfId="0" applyFont="1" applyAlignment="1">
      <alignment horizontal="center" vertical="center" wrapText="1"/>
    </xf>
    <xf numFmtId="0" fontId="80" fillId="0" borderId="0" xfId="0" applyFont="1" applyAlignment="1">
      <alignment horizontal="center" vertical="center" wrapText="1"/>
    </xf>
    <xf numFmtId="0" fontId="18" fillId="0" borderId="9" xfId="0" applyFont="1" applyBorder="1" applyAlignment="1">
      <alignment horizontal="center" vertical="center" wrapText="1"/>
    </xf>
    <xf numFmtId="0" fontId="77" fillId="27" borderId="0" xfId="0" applyFont="1" applyFill="1" applyAlignment="1">
      <alignment horizontal="center" vertical="center" wrapText="1"/>
    </xf>
    <xf numFmtId="0" fontId="67" fillId="0" borderId="4" xfId="0" applyFont="1" applyBorder="1">
      <alignment vertical="top" wrapText="1"/>
    </xf>
    <xf numFmtId="0" fontId="67" fillId="0" borderId="2" xfId="0" applyFont="1" applyBorder="1">
      <alignment vertical="top" wrapText="1"/>
    </xf>
    <xf numFmtId="0" fontId="65" fillId="25" borderId="4" xfId="0" applyFont="1" applyFill="1" applyBorder="1">
      <alignment vertical="top" wrapText="1"/>
    </xf>
    <xf numFmtId="0" fontId="62" fillId="26" borderId="1" xfId="0" applyFont="1" applyFill="1" applyBorder="1">
      <alignment vertical="top" wrapText="1"/>
    </xf>
    <xf numFmtId="0" fontId="63" fillId="26" borderId="1" xfId="0" applyFont="1" applyFill="1" applyBorder="1">
      <alignment vertical="top" wrapText="1"/>
    </xf>
    <xf numFmtId="0" fontId="65" fillId="26" borderId="1" xfId="0" applyFont="1" applyFill="1" applyBorder="1">
      <alignment vertical="top" wrapText="1"/>
    </xf>
    <xf numFmtId="0" fontId="62" fillId="26" borderId="4" xfId="0" applyFont="1" applyFill="1" applyBorder="1">
      <alignment vertical="top" wrapText="1"/>
    </xf>
    <xf numFmtId="0" fontId="63" fillId="26" borderId="4" xfId="0" applyFont="1" applyFill="1" applyBorder="1">
      <alignment vertical="top" wrapText="1"/>
    </xf>
    <xf numFmtId="0" fontId="65" fillId="26" borderId="4" xfId="0" applyFont="1" applyFill="1" applyBorder="1">
      <alignment vertical="top" wrapText="1"/>
    </xf>
    <xf numFmtId="0" fontId="71" fillId="0" borderId="0" xfId="0" applyFont="1" applyAlignment="1">
      <alignment horizontal="left" vertical="center" wrapText="1"/>
    </xf>
    <xf numFmtId="0" fontId="68" fillId="0" borderId="4" xfId="0" applyFont="1" applyBorder="1" applyAlignment="1">
      <alignment horizontal="center" vertical="top" wrapText="1"/>
    </xf>
    <xf numFmtId="0" fontId="68" fillId="0" borderId="23" xfId="0" applyFont="1" applyBorder="1" applyAlignment="1">
      <alignment horizontal="center" vertical="top" wrapText="1"/>
    </xf>
    <xf numFmtId="0" fontId="68" fillId="0" borderId="2" xfId="0" applyFont="1" applyBorder="1" applyAlignment="1">
      <alignment horizontal="center" vertical="top" wrapText="1"/>
    </xf>
    <xf numFmtId="0" fontId="74" fillId="0" borderId="42" xfId="0" applyFont="1" applyBorder="1" applyAlignment="1">
      <alignment horizontal="center" vertical="center" wrapText="1"/>
    </xf>
    <xf numFmtId="0" fontId="65" fillId="25" borderId="4" xfId="0" applyFont="1" applyFill="1" applyBorder="1" applyAlignment="1">
      <alignment horizontal="center" vertical="top" wrapText="1"/>
    </xf>
    <xf numFmtId="0" fontId="65" fillId="25" borderId="23" xfId="0" applyFont="1" applyFill="1" applyBorder="1" applyAlignment="1">
      <alignment horizontal="center" vertical="top" wrapText="1"/>
    </xf>
    <xf numFmtId="0" fontId="65" fillId="25" borderId="2" xfId="0" applyFont="1" applyFill="1" applyBorder="1" applyAlignment="1">
      <alignment horizontal="center" vertical="top" wrapText="1"/>
    </xf>
    <xf numFmtId="0" fontId="65" fillId="0" borderId="4" xfId="0" applyFont="1" applyBorder="1" applyAlignment="1">
      <alignment horizontal="center" vertical="top" wrapText="1"/>
    </xf>
    <xf numFmtId="0" fontId="65" fillId="0" borderId="23" xfId="0" applyFont="1" applyBorder="1" applyAlignment="1">
      <alignment horizontal="center" vertical="top" wrapText="1"/>
    </xf>
    <xf numFmtId="0" fontId="65" fillId="0" borderId="2" xfId="0" applyFont="1" applyBorder="1" applyAlignment="1">
      <alignment horizontal="center" vertical="top" wrapText="1"/>
    </xf>
    <xf numFmtId="0" fontId="67" fillId="25" borderId="4" xfId="0" applyFont="1" applyFill="1" applyBorder="1" applyAlignment="1">
      <alignment horizontal="center" vertical="top" wrapText="1"/>
    </xf>
    <xf numFmtId="0" fontId="67" fillId="25" borderId="23" xfId="0" applyFont="1" applyFill="1" applyBorder="1" applyAlignment="1">
      <alignment horizontal="center" vertical="top" wrapText="1"/>
    </xf>
    <xf numFmtId="0" fontId="67" fillId="25" borderId="2" xfId="0" applyFont="1" applyFill="1" applyBorder="1" applyAlignment="1">
      <alignment horizontal="center" vertical="top" wrapText="1"/>
    </xf>
    <xf numFmtId="0" fontId="73" fillId="0" borderId="4" xfId="0" applyFont="1" applyBorder="1" applyAlignment="1">
      <alignment horizontal="center" vertical="top" wrapText="1"/>
    </xf>
    <xf numFmtId="0" fontId="73" fillId="0" borderId="23" xfId="0" applyFont="1" applyBorder="1" applyAlignment="1">
      <alignment horizontal="center" vertical="top" wrapText="1"/>
    </xf>
    <xf numFmtId="0" fontId="73" fillId="0" borderId="2" xfId="0" applyFont="1" applyBorder="1" applyAlignment="1">
      <alignment horizontal="center" vertical="top" wrapText="1"/>
    </xf>
    <xf numFmtId="0" fontId="72" fillId="0" borderId="4" xfId="0" applyFont="1" applyBorder="1" applyAlignment="1">
      <alignment horizontal="center" vertical="top" wrapText="1"/>
    </xf>
    <xf numFmtId="0" fontId="72" fillId="0" borderId="23" xfId="0" applyFont="1" applyBorder="1" applyAlignment="1">
      <alignment horizontal="center" vertical="top" wrapText="1"/>
    </xf>
    <xf numFmtId="0" fontId="72" fillId="0" borderId="2" xfId="0" applyFont="1" applyBorder="1" applyAlignment="1">
      <alignment horizontal="center" vertical="top" wrapText="1"/>
    </xf>
    <xf numFmtId="0" fontId="33" fillId="22" borderId="1" xfId="0" applyFont="1" applyFill="1" applyBorder="1" applyAlignment="1">
      <alignment horizontal="center" vertical="center" wrapText="1"/>
    </xf>
    <xf numFmtId="0" fontId="11" fillId="0" borderId="0" xfId="0" applyFont="1" applyAlignment="1">
      <alignment horizontal="center" vertical="top" wrapText="1"/>
    </xf>
    <xf numFmtId="0" fontId="39" fillId="22" borderId="0" xfId="0" applyFont="1" applyFill="1" applyAlignment="1">
      <alignment horizontal="center" vertical="center" wrapText="1"/>
    </xf>
    <xf numFmtId="0" fontId="83" fillId="24" borderId="0" xfId="0" applyFont="1" applyFill="1" applyAlignment="1">
      <alignment horizontal="center" vertical="center" wrapText="1"/>
    </xf>
    <xf numFmtId="0" fontId="76" fillId="0" borderId="1" xfId="0" applyFont="1" applyBorder="1" applyAlignment="1">
      <alignment horizontal="center" vertical="center" wrapText="1"/>
    </xf>
    <xf numFmtId="0" fontId="76" fillId="22" borderId="0" xfId="0" applyFont="1" applyFill="1" applyAlignment="1">
      <alignment horizontal="center" vertical="center" wrapText="1"/>
    </xf>
    <xf numFmtId="0" fontId="11" fillId="0" borderId="0" xfId="0" applyFont="1" applyAlignment="1">
      <alignment horizontal="center" vertical="center" wrapText="1"/>
    </xf>
    <xf numFmtId="0" fontId="85" fillId="22" borderId="7" xfId="0" applyFont="1" applyFill="1" applyBorder="1" applyAlignment="1">
      <alignment horizontal="center" vertical="center" wrapText="1"/>
    </xf>
    <xf numFmtId="0" fontId="85" fillId="22" borderId="28" xfId="0" applyFont="1" applyFill="1" applyBorder="1" applyAlignment="1">
      <alignment horizontal="center" vertical="center" wrapText="1"/>
    </xf>
    <xf numFmtId="0" fontId="12" fillId="22" borderId="1" xfId="0" applyFont="1" applyFill="1" applyBorder="1" applyAlignment="1">
      <alignment horizontal="left" vertical="center"/>
    </xf>
    <xf numFmtId="0" fontId="12" fillId="22" borderId="1" xfId="0" applyFont="1" applyFill="1" applyBorder="1" applyAlignment="1">
      <alignment horizontal="left"/>
    </xf>
    <xf numFmtId="0" fontId="12" fillId="22" borderId="1" xfId="0" applyFont="1" applyFill="1" applyBorder="1" applyAlignment="1">
      <alignment horizontal="left" vertical="center" wrapText="1"/>
    </xf>
    <xf numFmtId="0" fontId="11" fillId="0" borderId="1" xfId="0" applyFont="1" applyBorder="1" applyAlignment="1">
      <alignment horizontal="center" vertical="center" wrapText="1"/>
    </xf>
    <xf numFmtId="0" fontId="11" fillId="0" borderId="0" xfId="0" applyFont="1" applyAlignment="1">
      <alignment horizontal="center" vertical="center"/>
    </xf>
    <xf numFmtId="0" fontId="11" fillId="0" borderId="0" xfId="0" applyFont="1" applyAlignment="1">
      <alignment horizontal="center" vertical="top"/>
    </xf>
    <xf numFmtId="0" fontId="39" fillId="0" borderId="0" xfId="0" applyFont="1" applyAlignment="1">
      <alignment horizontal="center" vertical="center"/>
    </xf>
    <xf numFmtId="0" fontId="2" fillId="0" borderId="0" xfId="0" applyFont="1" applyAlignment="1">
      <alignment horizontal="center" vertical="top"/>
    </xf>
    <xf numFmtId="0" fontId="86" fillId="22" borderId="0" xfId="0" applyFont="1" applyFill="1" applyAlignment="1">
      <alignment horizontal="center" vertical="center"/>
    </xf>
    <xf numFmtId="0" fontId="10" fillId="0" borderId="31" xfId="5" applyFont="1" applyBorder="1" applyAlignment="1">
      <alignment horizontal="center" vertical="center" textRotation="90" wrapText="1"/>
    </xf>
    <xf numFmtId="0" fontId="10" fillId="0" borderId="34" xfId="5" applyFont="1" applyBorder="1" applyAlignment="1">
      <alignment horizontal="center" vertical="center" textRotation="90" wrapText="1"/>
    </xf>
    <xf numFmtId="0" fontId="10" fillId="0" borderId="30" xfId="5" applyFont="1" applyBorder="1" applyAlignment="1">
      <alignment horizontal="center" vertical="center" wrapText="1"/>
    </xf>
    <xf numFmtId="0" fontId="10" fillId="0" borderId="13" xfId="5" applyFont="1" applyBorder="1" applyAlignment="1">
      <alignment horizontal="center" vertical="center" wrapText="1"/>
    </xf>
    <xf numFmtId="0" fontId="25" fillId="22" borderId="31" xfId="5" applyFont="1" applyFill="1" applyBorder="1" applyAlignment="1">
      <alignment horizontal="center"/>
    </xf>
    <xf numFmtId="0" fontId="25" fillId="22" borderId="32" xfId="5" applyFont="1" applyFill="1" applyBorder="1" applyAlignment="1">
      <alignment horizontal="center"/>
    </xf>
    <xf numFmtId="0" fontId="25" fillId="22" borderId="33" xfId="5" applyFont="1" applyFill="1" applyBorder="1" applyAlignment="1">
      <alignment horizontal="center"/>
    </xf>
    <xf numFmtId="0" fontId="10" fillId="0" borderId="10" xfId="0" applyFont="1" applyBorder="1" applyAlignment="1">
      <alignment horizontal="center" vertical="center" textRotation="90" wrapText="1"/>
    </xf>
    <xf numFmtId="0" fontId="10" fillId="0" borderId="11" xfId="0" applyFont="1" applyBorder="1" applyAlignment="1">
      <alignment horizontal="center" vertical="center" textRotation="90" wrapText="1"/>
    </xf>
    <xf numFmtId="0" fontId="18" fillId="3" borderId="0" xfId="0" applyFont="1" applyFill="1" applyAlignment="1">
      <alignment horizontal="center" vertical="top" wrapText="1"/>
    </xf>
    <xf numFmtId="0" fontId="10" fillId="3" borderId="29" xfId="0" applyFont="1" applyFill="1" applyBorder="1" applyAlignment="1">
      <alignment horizontal="center" vertical="center" wrapText="1"/>
    </xf>
    <xf numFmtId="0" fontId="10" fillId="3" borderId="30" xfId="0" applyFont="1" applyFill="1" applyBorder="1" applyAlignment="1">
      <alignment horizontal="center" vertical="center" wrapText="1"/>
    </xf>
    <xf numFmtId="0" fontId="10" fillId="3" borderId="13" xfId="0" applyFont="1" applyFill="1" applyBorder="1" applyAlignment="1">
      <alignment horizontal="center" vertical="center" wrapText="1"/>
    </xf>
    <xf numFmtId="0" fontId="10" fillId="3" borderId="10" xfId="0" applyFont="1" applyFill="1" applyBorder="1" applyAlignment="1">
      <alignment horizontal="center" vertical="center" textRotation="90" wrapText="1"/>
    </xf>
    <xf numFmtId="0" fontId="10" fillId="3" borderId="11" xfId="0" applyFont="1" applyFill="1" applyBorder="1" applyAlignment="1">
      <alignment horizontal="center" vertical="center" textRotation="90" wrapText="1"/>
    </xf>
    <xf numFmtId="0" fontId="10" fillId="3" borderId="14" xfId="0" applyFont="1" applyFill="1" applyBorder="1" applyAlignment="1">
      <alignment horizontal="center" vertical="center" wrapText="1"/>
    </xf>
    <xf numFmtId="0" fontId="10" fillId="3" borderId="15" xfId="0" applyFont="1" applyFill="1" applyBorder="1" applyAlignment="1">
      <alignment horizontal="center" vertical="center" wrapText="1"/>
    </xf>
    <xf numFmtId="0" fontId="10" fillId="0" borderId="31" xfId="0" applyFont="1" applyBorder="1" applyAlignment="1">
      <alignment horizontal="center" vertical="center" textRotation="90" wrapText="1"/>
    </xf>
    <xf numFmtId="0" fontId="10" fillId="0" borderId="34" xfId="0" applyFont="1" applyBorder="1" applyAlignment="1">
      <alignment horizontal="center" vertical="center" textRotation="90" wrapText="1"/>
    </xf>
    <xf numFmtId="0" fontId="10" fillId="0" borderId="30" xfId="0" applyFont="1" applyBorder="1" applyAlignment="1">
      <alignment horizontal="center" vertical="center" wrapText="1"/>
    </xf>
    <xf numFmtId="0" fontId="10" fillId="0" borderId="13" xfId="0" applyFont="1" applyBorder="1" applyAlignment="1">
      <alignment horizontal="center" vertical="center" wrapText="1"/>
    </xf>
    <xf numFmtId="0" fontId="112" fillId="0" borderId="1" xfId="0" applyFont="1" applyFill="1" applyBorder="1" applyAlignment="1">
      <alignment horizontal="left" vertical="center"/>
    </xf>
  </cellXfs>
  <cellStyles count="7">
    <cellStyle name="Input" xfId="3" builtinId="20"/>
    <cellStyle name="Normal" xfId="0" builtinId="0"/>
    <cellStyle name="Normal 10" xfId="4" xr:uid="{771BFA44-86A4-48D0-85F1-E597633679C5}"/>
    <cellStyle name="Normal 2" xfId="2" xr:uid="{00000000-0005-0000-0000-000002000000}"/>
    <cellStyle name="Normal 3" xfId="5" xr:uid="{5FD8D355-0D25-4345-B359-57BCA2922E20}"/>
    <cellStyle name="Normal_Sheet1" xfId="1" xr:uid="{00000000-0005-0000-0000-000003000000}"/>
    <cellStyle name="Percent 2" xfId="6" xr:uid="{ED2C3FFC-2D38-48DD-BCC2-DF82EC2F8826}"/>
  </cellStyles>
  <dxfs count="440">
    <dxf>
      <numFmt numFmtId="166" formatCode="[$£-809]#,##0.00"/>
    </dxf>
    <dxf>
      <numFmt numFmtId="166" formatCode="[$£-809]#,##0.00"/>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3999755851924192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2"/>
        <color theme="0"/>
        <name val="Segoe UI Emoji"/>
        <family val="2"/>
        <scheme val="none"/>
      </font>
      <fill>
        <patternFill patternType="solid">
          <fgColor indexed="64"/>
          <bgColor rgb="FFFFC000"/>
        </patternFill>
      </fill>
      <alignment horizontal="left" vertical="center" textRotation="0" wrapText="0" indent="0" justifyLastLine="0" shrinkToFit="0" readingOrder="0"/>
    </dxf>
    <dxf>
      <numFmt numFmtId="13" formatCode="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z val="12"/>
        <color theme="1"/>
        <family val="2"/>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z val="12"/>
        <color theme="1"/>
        <family val="2"/>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outline="0">
        <bottom style="medium">
          <color indexed="64"/>
        </bottom>
      </border>
    </dxf>
    <dxf>
      <font>
        <b/>
        <i val="0"/>
        <strike val="0"/>
        <condense val="0"/>
        <extend val="0"/>
        <outline val="0"/>
        <shadow val="0"/>
        <u val="none"/>
        <vertAlign val="baseline"/>
        <sz val="12"/>
        <color theme="0"/>
        <name val="Arial"/>
        <family val="2"/>
        <scheme val="none"/>
      </font>
      <fill>
        <patternFill patternType="solid">
          <fgColor indexed="64"/>
          <bgColor theme="6"/>
        </patternFill>
      </fill>
      <alignment horizontal="left" vertical="center" textRotation="0" wrapText="0" indent="0" justifyLastLine="0" shrinkToFit="0" readingOrder="0"/>
    </dxf>
    <dxf>
      <font>
        <b/>
        <strike val="0"/>
        <outline val="0"/>
        <shadow val="0"/>
        <u val="none"/>
        <vertAlign val="baseline"/>
        <sz val="16"/>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000000"/>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000000"/>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rgb="FF000000"/>
        <name val="Arial"/>
        <family val="2"/>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auto="1"/>
        <name val="Arial"/>
        <family val="2"/>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bottom style="thin">
          <color indexed="64"/>
        </bottom>
      </border>
    </dxf>
    <dxf>
      <alignment textRotation="0" wrapText="0" indent="0" justifyLastLine="0" shrinkToFit="0" readingOrder="0"/>
    </dxf>
    <dxf>
      <border outline="0">
        <bottom style="thin">
          <color indexed="64"/>
        </bottom>
      </border>
    </dxf>
    <dxf>
      <font>
        <b/>
        <strike val="0"/>
        <outline val="0"/>
        <shadow val="0"/>
        <u val="none"/>
        <vertAlign val="baseline"/>
        <sz val="16"/>
        <color auto="1"/>
        <name val="Arial"/>
        <family val="2"/>
        <scheme val="none"/>
      </font>
      <alignment horizontal="center" vertical="center" textRotation="0" wrapText="0" indent="0" justifyLastLine="0" shrinkToFit="0" readingOrder="0"/>
    </dxf>
    <dxf>
      <fill>
        <patternFill>
          <bgColor rgb="FF92D050"/>
        </patternFill>
      </fill>
    </dxf>
    <dxf>
      <fill>
        <patternFill>
          <bgColor rgb="FFFFFF00"/>
        </patternFill>
      </fill>
    </dxf>
    <dxf>
      <fill>
        <patternFill>
          <bgColor rgb="FFFFC000"/>
        </patternFill>
      </fill>
    </dxf>
    <dxf>
      <fill>
        <patternFill>
          <bgColor rgb="FFFF0000"/>
        </patternFill>
      </fill>
    </dxf>
    <dxf>
      <font>
        <b/>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auto="1"/>
        <name val="Arial"/>
        <family val="2"/>
        <scheme val="none"/>
      </font>
      <numFmt numFmtId="30" formatCode="@"/>
      <fill>
        <patternFill patternType="solid">
          <fgColor indexed="64"/>
          <bgColor theme="6" tint="0.79998168889431442"/>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1F4E79"/>
        <name val="Calibri"/>
        <family val="2"/>
        <scheme val="none"/>
      </font>
      <numFmt numFmtId="0" formatCode="General"/>
      <fill>
        <patternFill patternType="solid">
          <fgColor indexed="64"/>
          <bgColor rgb="FFDEEAF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0066CC"/>
        <name val="Calibri"/>
        <family val="2"/>
        <scheme val="none"/>
      </font>
      <fill>
        <patternFill patternType="solid">
          <fgColor indexed="64"/>
          <bgColor rgb="FF000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0066CC"/>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0066CC"/>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0066CC"/>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1F4E79"/>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375623"/>
        <name val="Calibri"/>
        <family val="2"/>
        <scheme val="none"/>
      </font>
      <fill>
        <patternFill patternType="solid">
          <fgColor indexed="64"/>
          <bgColor rgb="FFE2EFDA"/>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family val="2"/>
        <scheme val="none"/>
      </font>
      <alignment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Arial"/>
        <family val="2"/>
        <scheme val="none"/>
      </font>
      <fill>
        <patternFill patternType="solid">
          <fgColor indexed="64"/>
          <bgColor rgb="FF00873B"/>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6"/>
        <color rgb="FF000000"/>
        <name val="Arial"/>
        <family val="2"/>
        <scheme val="none"/>
      </font>
      <fill>
        <patternFill patternType="none">
          <fgColor indexed="64"/>
          <bgColor indexed="65"/>
        </patternFill>
      </fill>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8"/>
        <color rgb="FF000000"/>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2"/>
        <color auto="1"/>
        <name val="Arial"/>
        <family val="2"/>
        <scheme val="none"/>
      </font>
      <numFmt numFmtId="30" formatCode="@"/>
      <fill>
        <patternFill patternType="solid">
          <fgColor indexed="64"/>
          <bgColor rgb="FFFF0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2"/>
        <color auto="1"/>
        <name val="Arial"/>
        <family val="2"/>
        <scheme val="none"/>
      </font>
      <numFmt numFmtId="30" formatCode="@"/>
      <fill>
        <patternFill patternType="solid">
          <fgColor indexed="64"/>
          <bgColor rgb="FFFFB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2"/>
        <color theme="0"/>
        <name val="Arial"/>
        <family val="2"/>
        <scheme val="none"/>
      </font>
      <numFmt numFmtId="30" formatCode="@"/>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6"/>
        <color auto="1"/>
        <name val="Arial"/>
        <family val="2"/>
        <scheme val="none"/>
      </font>
      <numFmt numFmtId="30" formatCode="@"/>
      <fill>
        <patternFill patternType="solid">
          <fgColor indexed="64"/>
          <bgColor rgb="FFFFFFCC"/>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6"/>
        <color auto="1"/>
        <name val="Arial"/>
        <family val="2"/>
        <scheme val="none"/>
      </font>
      <numFmt numFmtId="30" formatCode="@"/>
      <fill>
        <patternFill patternType="solid">
          <fgColor indexed="64"/>
          <bgColor rgb="FFFFFFCC"/>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4"/>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auto="1"/>
        <name val="Arial"/>
        <family val="2"/>
        <scheme val="none"/>
      </font>
      <fill>
        <patternFill patternType="solid">
          <fgColor indexed="64"/>
          <bgColor rgb="FF0000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auto="1"/>
        <name val="Arial"/>
        <family val="2"/>
        <scheme val="none"/>
      </font>
      <fill>
        <patternFill patternType="solid">
          <fgColor indexed="64"/>
          <bgColor rgb="FF0000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auto="1"/>
        <name val="Arial"/>
        <family val="2"/>
        <scheme val="none"/>
      </font>
      <fill>
        <patternFill patternType="solid">
          <fgColor indexed="64"/>
          <bgColor rgb="FF0000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auto="1"/>
        <name val="Arial"/>
        <family val="2"/>
        <scheme val="none"/>
      </font>
      <fill>
        <patternFill patternType="solid">
          <fgColor indexed="64"/>
          <bgColor rgb="FF000000"/>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4"/>
        <color auto="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color auto="1"/>
        <name val="Arial"/>
        <family val="2"/>
        <scheme val="none"/>
      </font>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4"/>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2"/>
        <color auto="1"/>
        <name val="Arial"/>
        <family val="2"/>
        <scheme val="none"/>
      </font>
      <fill>
        <patternFill patternType="solid">
          <fgColor indexed="64"/>
          <bgColor theme="0" tint="-4.9989318521683403E-2"/>
        </patternFill>
      </fill>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4"/>
        <color auto="1"/>
        <name val="Arial"/>
        <family val="2"/>
        <scheme val="none"/>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alignment textRotation="0" wrapText="0" indent="0" justifyLastLine="0" shrinkToFit="0" readingOrder="0"/>
    </dxf>
    <dxf>
      <border>
        <bottom style="thin">
          <color indexed="64"/>
        </bottom>
      </border>
    </dxf>
    <dxf>
      <font>
        <strike val="0"/>
        <outline val="0"/>
        <shadow val="0"/>
        <u val="none"/>
        <vertAlign val="baseline"/>
        <sz val="16"/>
        <color auto="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Arial"/>
        <scheme val="none"/>
      </font>
      <border diagonalUp="0" diagonalDown="0" outline="0">
        <left style="medium">
          <color indexed="64"/>
        </left>
        <right style="medium">
          <color indexed="64"/>
        </right>
        <top/>
        <bottom/>
      </border>
      <protection locked="0" hidden="0"/>
    </dxf>
    <dxf>
      <font>
        <strike val="0"/>
        <outline val="0"/>
        <shadow val="0"/>
        <u val="none"/>
        <vertAlign val="baseline"/>
        <sz val="12"/>
        <name val="Arial"/>
        <scheme val="none"/>
      </font>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65" formatCode="dd/mm/yyyy;@"/>
      <alignment horizontal="general" vertical="center"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242424"/>
        <name val="Arial"/>
        <family val="2"/>
        <scheme val="none"/>
      </font>
      <fill>
        <patternFill patternType="solid">
          <fgColor indexed="64"/>
          <bgColor theme="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242424"/>
        <name val="Arial"/>
        <family val="2"/>
        <scheme val="none"/>
      </font>
      <fill>
        <patternFill patternType="solid">
          <fgColor indexed="64"/>
          <bgColor theme="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68" formatCode="m/d/yyyy"/>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dxf>
    <dxf>
      <border outline="0">
        <right style="thin">
          <color indexed="64"/>
        </right>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dxf>
    <dxf>
      <font>
        <b/>
        <i val="0"/>
        <strike val="0"/>
        <condense val="0"/>
        <extend val="0"/>
        <outline val="0"/>
        <shadow val="0"/>
        <u val="none"/>
        <vertAlign val="baseline"/>
        <sz val="11"/>
        <color auto="1"/>
        <name val="Arial"/>
        <family val="2"/>
        <scheme val="none"/>
      </font>
      <fill>
        <patternFill patternType="solid">
          <fgColor indexed="64"/>
          <bgColor rgb="FFC9D963"/>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C000"/>
        </patternFill>
      </fill>
    </dxf>
    <dxf>
      <font>
        <color auto="1"/>
      </font>
      <fill>
        <patternFill>
          <bgColor rgb="FF92D050"/>
        </patternFill>
      </fill>
    </dxf>
    <dxf>
      <fill>
        <patternFill>
          <bgColor rgb="FFFFFF00"/>
        </patternFill>
      </fill>
    </dxf>
    <dxf>
      <fill>
        <patternFill>
          <bgColor theme="9"/>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numFmt numFmtId="13" formatCode="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0;[Red]\-&quot;£&quot;#,##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0;[Red]\-&quot;£&quot;#,##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0;[Red]\-&quot;£&quot;#,##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0;[Red]\-&quot;£&quot;#,##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0;[Red]\-&quot;£&quot;#,##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numFmt numFmtId="168" formatCode="m/d/yyyy"/>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numFmt numFmtId="168" formatCode="m/d/yyyy"/>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numFmt numFmtId="168" formatCode="m/d/yyyy"/>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1" indent="0" justifyLastLine="0" shrinkToFit="0" readingOrder="0"/>
    </dxf>
    <dxf>
      <font>
        <b/>
        <i val="0"/>
        <strike val="0"/>
        <condense val="0"/>
        <extend val="0"/>
        <outline val="0"/>
        <shadow val="0"/>
        <u val="none"/>
        <vertAlign val="baseline"/>
        <sz val="11"/>
        <color theme="0"/>
        <name val="Arial"/>
        <family val="2"/>
        <scheme val="none"/>
      </font>
      <fill>
        <patternFill patternType="solid">
          <fgColor indexed="64"/>
          <bgColor rgb="FF00873B"/>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DBC00"/>
        </patternFill>
      </fill>
    </dxf>
    <dxf>
      <fill>
        <patternFill>
          <bgColor theme="6" tint="-0.24994659260841701"/>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C00000"/>
        </patternFill>
      </fill>
    </dxf>
    <dxf>
      <fill>
        <patternFill>
          <bgColor rgb="FFFFC000"/>
        </patternFill>
      </fill>
    </dxf>
    <dxf>
      <fill>
        <patternFill>
          <bgColor rgb="FF0DBC00"/>
        </patternFill>
      </fill>
    </dxf>
    <dxf>
      <fill>
        <patternFill>
          <bgColor theme="6" tint="-0.24994659260841701"/>
        </patternFill>
      </fill>
    </dxf>
    <dxf>
      <fill>
        <patternFill>
          <bgColor rgb="FFFFFF00"/>
        </patternFill>
      </fill>
    </dxf>
    <dxf>
      <fill>
        <patternFill>
          <bgColor rgb="FFFFC000"/>
        </patternFill>
      </fill>
    </dxf>
    <dxf>
      <fill>
        <patternFill>
          <bgColor rgb="FFFF0000"/>
        </patternFill>
      </fill>
    </dxf>
  </dxfs>
  <tableStyles count="0" defaultTableStyle="TableStyleMedium2" defaultPivotStyle="PivotStyleLight16"/>
  <colors>
    <mruColors>
      <color rgb="FF00873B"/>
      <color rgb="FF0DBC00"/>
      <color rgb="FFFFFFCC"/>
      <color rgb="FFFF7C80"/>
      <color rgb="FFFFBF00"/>
      <color rgb="FFFFFF99"/>
      <color rgb="FF006400"/>
      <color rgb="FF06402B"/>
      <color rgb="FF8B0000"/>
      <color rgb="FFC9D9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powerPivotData" Target="model/item.data"/><Relationship Id="rId42" Type="http://schemas.openxmlformats.org/officeDocument/2006/relationships/customXml" Target="../customXml/item5.xml"/><Relationship Id="rId47" Type="http://schemas.openxmlformats.org/officeDocument/2006/relationships/customXml" Target="../customXml/item10.xml"/><Relationship Id="rId50" Type="http://schemas.openxmlformats.org/officeDocument/2006/relationships/customXml" Target="../customXml/item13.xml"/><Relationship Id="rId55" Type="http://schemas.openxmlformats.org/officeDocument/2006/relationships/customXml" Target="../customXml/item18.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theme" Target="theme/theme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connections" Target="connections.xml"/><Relationship Id="rId35" Type="http://schemas.microsoft.com/office/2017/10/relationships/person" Target="persons/person.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8" Type="http://schemas.openxmlformats.org/officeDocument/2006/relationships/worksheet" Target="worksheets/sheet8.xml"/><Relationship Id="rId51" Type="http://schemas.openxmlformats.org/officeDocument/2006/relationships/customXml" Target="../customXml/item1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 Id="rId46" Type="http://schemas.openxmlformats.org/officeDocument/2006/relationships/customXml" Target="../customXml/item9.xml"/><Relationship Id="rId20" Type="http://schemas.openxmlformats.org/officeDocument/2006/relationships/worksheet" Target="worksheets/sheet20.xml"/><Relationship Id="rId41" Type="http://schemas.openxmlformats.org/officeDocument/2006/relationships/customXml" Target="../customXml/item4.xml"/><Relationship Id="rId54"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1/relationships/FeaturePropertyBag" Target="featurePropertyBag/featurePropertyBag.xml"/><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worksheet" Target="worksheets/sheet10.xml"/><Relationship Id="rId31" Type="http://schemas.openxmlformats.org/officeDocument/2006/relationships/styles" Target="styles.xml"/><Relationship Id="rId44" Type="http://schemas.openxmlformats.org/officeDocument/2006/relationships/customXml" Target="../customXml/item7.xml"/><Relationship Id="rId52"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Risk Status Distribution</a:t>
            </a:r>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7858831872559958"/>
          <c:y val="0.26009255253131353"/>
          <c:w val="0.50430921458229527"/>
          <c:h val="0.69679197192577258"/>
        </c:manualLayout>
      </c:layout>
      <c:pieChart>
        <c:varyColors val="1"/>
        <c:ser>
          <c:idx val="0"/>
          <c:order val="0"/>
          <c:tx>
            <c:strRef>
              <c:f>Dashboard!$J$7</c:f>
              <c:strCache>
                <c:ptCount val="1"/>
                <c:pt idx="0">
                  <c:v>Count</c:v>
                </c:pt>
              </c:strCache>
            </c:strRef>
          </c:tx>
          <c:spPr>
            <a:ln>
              <a:solidFill>
                <a:sysClr val="windowText" lastClr="000000"/>
              </a:solidFill>
            </a:ln>
          </c:spPr>
          <c:dPt>
            <c:idx val="0"/>
            <c:bubble3D val="0"/>
            <c:spPr>
              <a:solidFill>
                <a:schemeClr val="accent1"/>
              </a:solidFill>
              <a:ln w="19050">
                <a:solidFill>
                  <a:sysClr val="windowText" lastClr="000000"/>
                </a:solidFill>
              </a:ln>
              <a:effectLst/>
            </c:spPr>
            <c:extLst>
              <c:ext xmlns:c16="http://schemas.microsoft.com/office/drawing/2014/chart" uri="{C3380CC4-5D6E-409C-BE32-E72D297353CC}">
                <c16:uniqueId val="{00000001-F8C3-44B0-AFA1-4FDE3940AFAB}"/>
              </c:ext>
            </c:extLst>
          </c:dPt>
          <c:dPt>
            <c:idx val="1"/>
            <c:bubble3D val="0"/>
            <c:spPr>
              <a:solidFill>
                <a:schemeClr val="accent2"/>
              </a:solidFill>
              <a:ln w="19050">
                <a:solidFill>
                  <a:sysClr val="windowText" lastClr="000000"/>
                </a:solidFill>
              </a:ln>
              <a:effectLst/>
            </c:spPr>
            <c:extLst>
              <c:ext xmlns:c16="http://schemas.microsoft.com/office/drawing/2014/chart" uri="{C3380CC4-5D6E-409C-BE32-E72D297353CC}">
                <c16:uniqueId val="{00000003-F8C3-44B0-AFA1-4FDE3940AFAB}"/>
              </c:ext>
            </c:extLst>
          </c:dPt>
          <c:dPt>
            <c:idx val="2"/>
            <c:bubble3D val="0"/>
            <c:spPr>
              <a:solidFill>
                <a:schemeClr val="accent3"/>
              </a:solidFill>
              <a:ln w="19050">
                <a:solidFill>
                  <a:sysClr val="windowText" lastClr="000000"/>
                </a:solidFill>
              </a:ln>
              <a:effectLst/>
            </c:spPr>
            <c:extLst>
              <c:ext xmlns:c16="http://schemas.microsoft.com/office/drawing/2014/chart" uri="{C3380CC4-5D6E-409C-BE32-E72D297353CC}">
                <c16:uniqueId val="{00000005-F8C3-44B0-AFA1-4FDE3940AFAB}"/>
              </c:ext>
            </c:extLst>
          </c:dPt>
          <c:dPt>
            <c:idx val="3"/>
            <c:bubble3D val="0"/>
            <c:spPr>
              <a:solidFill>
                <a:schemeClr val="accent4"/>
              </a:solidFill>
              <a:ln w="19050">
                <a:solidFill>
                  <a:sysClr val="windowText" lastClr="000000"/>
                </a:solidFill>
              </a:ln>
              <a:effectLst/>
            </c:spPr>
            <c:extLst>
              <c:ext xmlns:c16="http://schemas.microsoft.com/office/drawing/2014/chart" uri="{C3380CC4-5D6E-409C-BE32-E72D297353CC}">
                <c16:uniqueId val="{00000007-F8C3-44B0-AFA1-4FDE3940AFAB}"/>
              </c:ext>
            </c:extLst>
          </c:dPt>
          <c:dPt>
            <c:idx val="4"/>
            <c:bubble3D val="0"/>
            <c:spPr>
              <a:solidFill>
                <a:schemeClr val="accent5"/>
              </a:solidFill>
              <a:ln w="19050">
                <a:solidFill>
                  <a:sysClr val="windowText" lastClr="000000"/>
                </a:solidFill>
              </a:ln>
              <a:effectLst/>
            </c:spPr>
            <c:extLst>
              <c:ext xmlns:c16="http://schemas.microsoft.com/office/drawing/2014/chart" uri="{C3380CC4-5D6E-409C-BE32-E72D297353CC}">
                <c16:uniqueId val="{00000009-F8C3-44B0-AFA1-4FDE3940AFAB}"/>
              </c:ext>
            </c:extLst>
          </c:dPt>
          <c:dLbls>
            <c:dLbl>
              <c:idx val="3"/>
              <c:layout>
                <c:manualLayout>
                  <c:x val="-5.239696898197567E-2"/>
                  <c:y val="-9.2407756867187857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8C3-44B0-AFA1-4FDE3940AFAB}"/>
                </c:ext>
              </c:extLst>
            </c:dLbl>
            <c:dLbl>
              <c:idx val="4"/>
              <c:layout>
                <c:manualLayout>
                  <c:x val="8.3551923511798964E-2"/>
                  <c:y val="-1.848155137343755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8C3-44B0-AFA1-4FDE3940AFAB}"/>
                </c:ext>
              </c:extLst>
            </c:dLbl>
            <c:spPr>
              <a:solidFill>
                <a:srgbClr val="4F81BD">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6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Dashboard!$I$8:$I$12</c:f>
              <c:strCache>
                <c:ptCount val="5"/>
                <c:pt idx="0">
                  <c:v>Closed</c:v>
                </c:pt>
                <c:pt idx="1">
                  <c:v>Managed</c:v>
                </c:pt>
                <c:pt idx="2">
                  <c:v>Mitigated</c:v>
                </c:pt>
                <c:pt idx="3">
                  <c:v>Open</c:v>
                </c:pt>
                <c:pt idx="4">
                  <c:v>Tolerated</c:v>
                </c:pt>
              </c:strCache>
            </c:strRef>
          </c:cat>
          <c:val>
            <c:numRef>
              <c:f>Dashboard!$J$8:$J$12</c:f>
              <c:numCache>
                <c:formatCode>General</c:formatCode>
                <c:ptCount val="5"/>
                <c:pt idx="0">
                  <c:v>62</c:v>
                </c:pt>
                <c:pt idx="1">
                  <c:v>5</c:v>
                </c:pt>
                <c:pt idx="2">
                  <c:v>15</c:v>
                </c:pt>
                <c:pt idx="3">
                  <c:v>3</c:v>
                </c:pt>
                <c:pt idx="4">
                  <c:v>2</c:v>
                </c:pt>
              </c:numCache>
            </c:numRef>
          </c:val>
          <c:extLst>
            <c:ext xmlns:c16="http://schemas.microsoft.com/office/drawing/2014/chart" uri="{C3380CC4-5D6E-409C-BE32-E72D297353CC}">
              <c16:uniqueId val="{0000000A-F8C3-44B0-AFA1-4FDE3940AFA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Risk Appetite Alignment</a:t>
            </a:r>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83269129362991"/>
          <c:y val="0.22170729940842263"/>
          <c:w val="0.74251047481498611"/>
          <c:h val="0.7345883999056928"/>
        </c:manualLayout>
      </c:layout>
      <c:barChart>
        <c:barDir val="col"/>
        <c:grouping val="clustered"/>
        <c:varyColors val="0"/>
        <c:ser>
          <c:idx val="0"/>
          <c:order val="0"/>
          <c:spPr>
            <a:solidFill>
              <a:srgbClr val="006400"/>
            </a:solidFill>
            <a:ln>
              <a:solidFill>
                <a:sysClr val="windowText" lastClr="000000"/>
              </a:solidFill>
            </a:ln>
            <a:effectLst/>
          </c:spPr>
          <c:invertIfNegative val="0"/>
          <c:dPt>
            <c:idx val="0"/>
            <c:invertIfNegative val="0"/>
            <c:bubble3D val="0"/>
            <c:spPr>
              <a:solidFill>
                <a:srgbClr val="C00000"/>
              </a:solidFill>
              <a:ln>
                <a:solidFill>
                  <a:sysClr val="windowText" lastClr="000000"/>
                </a:solidFill>
              </a:ln>
              <a:effectLst/>
            </c:spPr>
            <c:extLst>
              <c:ext xmlns:c16="http://schemas.microsoft.com/office/drawing/2014/chart" uri="{C3380CC4-5D6E-409C-BE32-E72D297353CC}">
                <c16:uniqueId val="{00000001-487A-49B3-B773-2B786CC25E38}"/>
              </c:ext>
            </c:extLst>
          </c:dPt>
          <c:dPt>
            <c:idx val="2"/>
            <c:invertIfNegative val="0"/>
            <c:bubble3D val="0"/>
            <c:spPr>
              <a:solidFill>
                <a:srgbClr val="FFFF99"/>
              </a:solidFill>
              <a:ln>
                <a:solidFill>
                  <a:sysClr val="windowText" lastClr="000000"/>
                </a:solidFill>
              </a:ln>
              <a:effectLst/>
            </c:spPr>
            <c:extLst>
              <c:ext xmlns:c16="http://schemas.microsoft.com/office/drawing/2014/chart" uri="{C3380CC4-5D6E-409C-BE32-E72D297353CC}">
                <c16:uniqueId val="{00000003-487A-49B3-B773-2B786CC25E38}"/>
              </c:ext>
            </c:extLst>
          </c:dPt>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Dashboard!$N$6:$N$8</c:f>
              <c:strCache>
                <c:ptCount val="3"/>
                <c:pt idx="0">
                  <c:v>MISALIGNED</c:v>
                </c:pt>
                <c:pt idx="1">
                  <c:v>ALIGNED</c:v>
                </c:pt>
                <c:pt idx="2">
                  <c:v>TD</c:v>
                </c:pt>
              </c:strCache>
            </c:strRef>
          </c:cat>
          <c:val>
            <c:numRef>
              <c:f>Dashboard!$O$6:$O$8</c:f>
              <c:numCache>
                <c:formatCode>General</c:formatCode>
                <c:ptCount val="3"/>
                <c:pt idx="0">
                  <c:v>7</c:v>
                </c:pt>
                <c:pt idx="1">
                  <c:v>3</c:v>
                </c:pt>
                <c:pt idx="2">
                  <c:v>93</c:v>
                </c:pt>
              </c:numCache>
            </c:numRef>
          </c:val>
          <c:extLst>
            <c:ext xmlns:c16="http://schemas.microsoft.com/office/drawing/2014/chart" uri="{C3380CC4-5D6E-409C-BE32-E72D297353CC}">
              <c16:uniqueId val="{00000004-487A-49B3-B773-2B786CC25E38}"/>
            </c:ext>
          </c:extLst>
        </c:ser>
        <c:dLbls>
          <c:dLblPos val="outEnd"/>
          <c:showLegendKey val="0"/>
          <c:showVal val="1"/>
          <c:showCatName val="0"/>
          <c:showSerName val="0"/>
          <c:showPercent val="0"/>
          <c:showBubbleSize val="0"/>
        </c:dLbls>
        <c:gapWidth val="182"/>
        <c:axId val="1738352016"/>
        <c:axId val="1738347696"/>
      </c:barChart>
      <c:catAx>
        <c:axId val="1738352016"/>
        <c:scaling>
          <c:orientation val="minMax"/>
        </c:scaling>
        <c:delete val="1"/>
        <c:axPos val="b"/>
        <c:majorGridlines>
          <c:spPr>
            <a:ln w="9525" cap="flat" cmpd="sng" algn="ctr">
              <a:noFill/>
              <a:round/>
            </a:ln>
            <a:effectLst/>
          </c:spPr>
        </c:majorGridlines>
        <c:numFmt formatCode="General" sourceLinked="1"/>
        <c:majorTickMark val="out"/>
        <c:minorTickMark val="none"/>
        <c:tickLblPos val="nextTo"/>
        <c:crossAx val="1738347696"/>
        <c:crosses val="autoZero"/>
        <c:auto val="1"/>
        <c:lblAlgn val="ctr"/>
        <c:lblOffset val="100"/>
        <c:noMultiLvlLbl val="0"/>
      </c:catAx>
      <c:valAx>
        <c:axId val="1738347696"/>
        <c:scaling>
          <c:orientation val="minMax"/>
        </c:scaling>
        <c:delete val="1"/>
        <c:axPos val="l"/>
        <c:numFmt formatCode="General" sourceLinked="1"/>
        <c:majorTickMark val="out"/>
        <c:minorTickMark val="none"/>
        <c:tickLblPos val="nextTo"/>
        <c:crossAx val="1738352016"/>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3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KRI Status</a:t>
            </a:r>
            <a:r>
              <a:rPr lang="en-US" sz="6000" b="1" baseline="0"/>
              <a:t> Distribution</a:t>
            </a:r>
            <a:endParaRPr lang="en-US" sz="6000" b="1"/>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7541076118333946"/>
          <c:y val="0.24074760527571412"/>
          <c:w val="0.44655324417875153"/>
          <c:h val="0.74422053683853329"/>
        </c:manualLayout>
      </c:layout>
      <c:pieChart>
        <c:varyColors val="1"/>
        <c:ser>
          <c:idx val="0"/>
          <c:order val="0"/>
          <c:spPr>
            <a:ln>
              <a:solidFill>
                <a:sysClr val="windowText" lastClr="000000"/>
              </a:solidFill>
            </a:ln>
          </c:spPr>
          <c:dPt>
            <c:idx val="0"/>
            <c:bubble3D val="0"/>
            <c:spPr>
              <a:solidFill>
                <a:srgbClr val="C00000"/>
              </a:solidFill>
              <a:ln w="19050">
                <a:solidFill>
                  <a:sysClr val="windowText" lastClr="000000"/>
                </a:solidFill>
              </a:ln>
              <a:effectLst/>
            </c:spPr>
            <c:extLst>
              <c:ext xmlns:c16="http://schemas.microsoft.com/office/drawing/2014/chart" uri="{C3380CC4-5D6E-409C-BE32-E72D297353CC}">
                <c16:uniqueId val="{00000001-AE88-46FF-B390-C393488A6FEB}"/>
              </c:ext>
            </c:extLst>
          </c:dPt>
          <c:dPt>
            <c:idx val="1"/>
            <c:bubble3D val="0"/>
            <c:spPr>
              <a:solidFill>
                <a:srgbClr val="FFC000"/>
              </a:solidFill>
              <a:ln w="19050">
                <a:solidFill>
                  <a:sysClr val="windowText" lastClr="000000"/>
                </a:solidFill>
              </a:ln>
              <a:effectLst/>
            </c:spPr>
            <c:extLst>
              <c:ext xmlns:c16="http://schemas.microsoft.com/office/drawing/2014/chart" uri="{C3380CC4-5D6E-409C-BE32-E72D297353CC}">
                <c16:uniqueId val="{00000003-AE88-46FF-B390-C393488A6FEB}"/>
              </c:ext>
            </c:extLst>
          </c:dPt>
          <c:dPt>
            <c:idx val="2"/>
            <c:bubble3D val="0"/>
            <c:spPr>
              <a:solidFill>
                <a:srgbClr val="00873B"/>
              </a:solidFill>
              <a:ln w="19050">
                <a:solidFill>
                  <a:sysClr val="windowText" lastClr="000000"/>
                </a:solidFill>
              </a:ln>
              <a:effectLst/>
            </c:spPr>
            <c:extLst>
              <c:ext xmlns:c16="http://schemas.microsoft.com/office/drawing/2014/chart" uri="{C3380CC4-5D6E-409C-BE32-E72D297353CC}">
                <c16:uniqueId val="{00000005-AE88-46FF-B390-C393488A6FEB}"/>
              </c:ext>
            </c:extLst>
          </c:dPt>
          <c:dLbls>
            <c:spPr>
              <a:solidFill>
                <a:srgbClr val="4F81BD">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6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Dashboard!$C$32:$C$34</c:f>
              <c:strCache>
                <c:ptCount val="3"/>
                <c:pt idx="0">
                  <c:v>🔴 RED KRIs</c:v>
                </c:pt>
                <c:pt idx="1">
                  <c:v>🟡 AMBER KRIs</c:v>
                </c:pt>
                <c:pt idx="2">
                  <c:v>🟢 GREEN KRIs</c:v>
                </c:pt>
              </c:strCache>
            </c:strRef>
          </c:cat>
          <c:val>
            <c:numRef>
              <c:f>Dashboard!$D$32:$D$34</c:f>
              <c:numCache>
                <c:formatCode>General</c:formatCode>
                <c:ptCount val="3"/>
                <c:pt idx="0">
                  <c:v>8</c:v>
                </c:pt>
                <c:pt idx="1">
                  <c:v>0</c:v>
                </c:pt>
                <c:pt idx="2">
                  <c:v>1</c:v>
                </c:pt>
              </c:numCache>
            </c:numRef>
          </c:val>
          <c:extLst>
            <c:ext xmlns:c16="http://schemas.microsoft.com/office/drawing/2014/chart" uri="{C3380CC4-5D6E-409C-BE32-E72D297353CC}">
              <c16:uniqueId val="{00000006-AE88-46FF-B390-C393488A6FEB}"/>
            </c:ext>
          </c:extLst>
        </c:ser>
        <c:dLbls>
          <c:dLblPos val="outEnd"/>
          <c:showLegendKey val="0"/>
          <c:showVal val="0"/>
          <c:showCatName val="0"/>
          <c:showSerName val="0"/>
          <c:showPercent val="1"/>
          <c:showBubbleSize val="0"/>
          <c:showLeaderLines val="0"/>
        </c:dLbls>
        <c:firstSliceAng val="0"/>
      </c:pieChart>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KPI</a:t>
            </a:r>
            <a:r>
              <a:rPr lang="en-US" sz="6000" b="1" baseline="0"/>
              <a:t> Status Distribution</a:t>
            </a:r>
            <a:endParaRPr lang="en-US" sz="6000" b="1"/>
          </a:p>
        </c:rich>
      </c:tx>
      <c:layout>
        <c:manualLayout>
          <c:xMode val="edge"/>
          <c:yMode val="edge"/>
          <c:x val="0.31100744914520917"/>
          <c:y val="8.9832155999374441E-2"/>
        </c:manualLayout>
      </c:layout>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2888908099951669"/>
          <c:y val="0.25335621675006292"/>
          <c:w val="0.37225614284647696"/>
          <c:h val="0.58053939692400014"/>
        </c:manualLayout>
      </c:layout>
      <c:pieChart>
        <c:varyColors val="1"/>
        <c:ser>
          <c:idx val="0"/>
          <c:order val="0"/>
          <c:dPt>
            <c:idx val="0"/>
            <c:bubble3D val="0"/>
            <c:spPr>
              <a:solidFill>
                <a:srgbClr val="C00000"/>
              </a:solidFill>
              <a:ln w="19050">
                <a:solidFill>
                  <a:schemeClr val="lt1"/>
                </a:solidFill>
              </a:ln>
              <a:effectLst/>
            </c:spPr>
            <c:extLst>
              <c:ext xmlns:c16="http://schemas.microsoft.com/office/drawing/2014/chart" uri="{C3380CC4-5D6E-409C-BE32-E72D297353CC}">
                <c16:uniqueId val="{00000001-4B8E-4F4D-8AC4-90A543A00D4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B8E-4F4D-8AC4-90A543A00D4F}"/>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4B8E-4F4D-8AC4-90A543A00D4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0B9-4B7E-85DA-CC137252F21F}"/>
              </c:ext>
            </c:extLst>
          </c:dPt>
          <c:dPt>
            <c:idx val="4"/>
            <c:bubble3D val="0"/>
            <c:spPr>
              <a:solidFill>
                <a:srgbClr val="00873B"/>
              </a:solidFill>
              <a:ln w="19050">
                <a:solidFill>
                  <a:schemeClr val="lt1"/>
                </a:solidFill>
              </a:ln>
              <a:effectLst/>
            </c:spPr>
            <c:extLst>
              <c:ext xmlns:c16="http://schemas.microsoft.com/office/drawing/2014/chart" uri="{C3380CC4-5D6E-409C-BE32-E72D297353CC}">
                <c16:uniqueId val="{00000009-50B9-4B7E-85DA-CC137252F21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679-4BD7-924B-BB100CCE0842}"/>
              </c:ext>
            </c:extLst>
          </c:dPt>
          <c:dLbls>
            <c:spPr>
              <a:solidFill>
                <a:srgbClr val="4F81BD">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6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Dashboard!$C$48:$C$53</c:f>
              <c:strCache>
                <c:ptCount val="5"/>
                <c:pt idx="0">
                  <c:v>🔴 RED KPIs</c:v>
                </c:pt>
                <c:pt idx="2">
                  <c:v>🟡 AMBER KPIs</c:v>
                </c:pt>
                <c:pt idx="4">
                  <c:v>🟢 GREEN KPIs</c:v>
                </c:pt>
              </c:strCache>
            </c:strRef>
          </c:cat>
          <c:val>
            <c:numRef>
              <c:f>Dashboard!$D$48:$D$53</c:f>
              <c:numCache>
                <c:formatCode>General</c:formatCode>
                <c:ptCount val="6"/>
                <c:pt idx="0">
                  <c:v>2</c:v>
                </c:pt>
                <c:pt idx="2">
                  <c:v>2</c:v>
                </c:pt>
                <c:pt idx="4">
                  <c:v>4</c:v>
                </c:pt>
              </c:numCache>
            </c:numRef>
          </c:val>
          <c:extLst>
            <c:ext xmlns:c16="http://schemas.microsoft.com/office/drawing/2014/chart" uri="{C3380CC4-5D6E-409C-BE32-E72D297353CC}">
              <c16:uniqueId val="{00000006-4B8E-4F4D-8AC4-90A543A00D4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KPI</a:t>
            </a:r>
            <a:r>
              <a:rPr lang="en-US" sz="6000" b="1" baseline="0"/>
              <a:t> Status Distribution</a:t>
            </a:r>
            <a:endParaRPr lang="en-US" sz="6000" b="1"/>
          </a:p>
        </c:rich>
      </c:tx>
      <c:layout>
        <c:manualLayout>
          <c:xMode val="edge"/>
          <c:yMode val="edge"/>
          <c:x val="0.37593217250843719"/>
          <c:y val="3.835971269115214E-2"/>
        </c:manualLayout>
      </c:layout>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7254967001706504"/>
          <c:y val="0.32530440884971007"/>
          <c:w val="0.51558897324874586"/>
          <c:h val="0.65460546455235225"/>
        </c:manualLayout>
      </c:layout>
      <c:pieChart>
        <c:varyColors val="1"/>
        <c:ser>
          <c:idx val="0"/>
          <c:order val="0"/>
          <c:spPr>
            <a:ln>
              <a:solidFill>
                <a:sysClr val="windowText" lastClr="000000"/>
              </a:solidFill>
            </a:ln>
          </c:spPr>
          <c:dPt>
            <c:idx val="0"/>
            <c:bubble3D val="0"/>
            <c:spPr>
              <a:solidFill>
                <a:srgbClr val="C00000"/>
              </a:solidFill>
              <a:ln w="19050">
                <a:solidFill>
                  <a:sysClr val="windowText" lastClr="000000"/>
                </a:solidFill>
              </a:ln>
              <a:effectLst/>
            </c:spPr>
            <c:extLst>
              <c:ext xmlns:c16="http://schemas.microsoft.com/office/drawing/2014/chart" uri="{C3380CC4-5D6E-409C-BE32-E72D297353CC}">
                <c16:uniqueId val="{00000001-4200-4991-BD89-3AA102B16EC4}"/>
              </c:ext>
            </c:extLst>
          </c:dPt>
          <c:dPt>
            <c:idx val="1"/>
            <c:bubble3D val="0"/>
            <c:spPr>
              <a:solidFill>
                <a:schemeClr val="accent2"/>
              </a:solidFill>
              <a:ln w="19050">
                <a:solidFill>
                  <a:sysClr val="windowText" lastClr="000000"/>
                </a:solidFill>
              </a:ln>
              <a:effectLst/>
            </c:spPr>
            <c:extLst>
              <c:ext xmlns:c16="http://schemas.microsoft.com/office/drawing/2014/chart" uri="{C3380CC4-5D6E-409C-BE32-E72D297353CC}">
                <c16:uniqueId val="{00000003-4200-4991-BD89-3AA102B16EC4}"/>
              </c:ext>
            </c:extLst>
          </c:dPt>
          <c:dPt>
            <c:idx val="2"/>
            <c:bubble3D val="0"/>
            <c:spPr>
              <a:solidFill>
                <a:srgbClr val="FFBF00"/>
              </a:solidFill>
              <a:ln w="19050">
                <a:solidFill>
                  <a:sysClr val="windowText" lastClr="000000"/>
                </a:solidFill>
              </a:ln>
              <a:effectLst/>
            </c:spPr>
            <c:extLst>
              <c:ext xmlns:c16="http://schemas.microsoft.com/office/drawing/2014/chart" uri="{C3380CC4-5D6E-409C-BE32-E72D297353CC}">
                <c16:uniqueId val="{00000005-4200-4991-BD89-3AA102B16EC4}"/>
              </c:ext>
            </c:extLst>
          </c:dPt>
          <c:dPt>
            <c:idx val="3"/>
            <c:bubble3D val="0"/>
            <c:spPr>
              <a:solidFill>
                <a:schemeClr val="accent4"/>
              </a:solidFill>
              <a:ln w="19050">
                <a:solidFill>
                  <a:sysClr val="windowText" lastClr="000000"/>
                </a:solidFill>
              </a:ln>
              <a:effectLst/>
            </c:spPr>
            <c:extLst>
              <c:ext xmlns:c16="http://schemas.microsoft.com/office/drawing/2014/chart" uri="{C3380CC4-5D6E-409C-BE32-E72D297353CC}">
                <c16:uniqueId val="{00000007-4200-4991-BD89-3AA102B16EC4}"/>
              </c:ext>
            </c:extLst>
          </c:dPt>
          <c:dPt>
            <c:idx val="4"/>
            <c:bubble3D val="0"/>
            <c:spPr>
              <a:solidFill>
                <a:srgbClr val="FFFFCC"/>
              </a:solidFill>
              <a:ln w="19050">
                <a:solidFill>
                  <a:sysClr val="windowText" lastClr="000000"/>
                </a:solidFill>
              </a:ln>
              <a:effectLst/>
            </c:spPr>
            <c:extLst>
              <c:ext xmlns:c16="http://schemas.microsoft.com/office/drawing/2014/chart" uri="{C3380CC4-5D6E-409C-BE32-E72D297353CC}">
                <c16:uniqueId val="{00000009-3703-455F-B876-7CDC84CBA7B3}"/>
              </c:ext>
            </c:extLst>
          </c:dPt>
          <c:dPt>
            <c:idx val="5"/>
            <c:bubble3D val="0"/>
            <c:spPr>
              <a:solidFill>
                <a:schemeClr val="accent6"/>
              </a:solidFill>
              <a:ln w="19050">
                <a:solidFill>
                  <a:sysClr val="windowText" lastClr="000000"/>
                </a:solidFill>
              </a:ln>
              <a:effectLst/>
            </c:spPr>
            <c:extLst>
              <c:ext xmlns:c16="http://schemas.microsoft.com/office/drawing/2014/chart" uri="{C3380CC4-5D6E-409C-BE32-E72D297353CC}">
                <c16:uniqueId val="{0000000B-3703-455F-B876-7CDC84CBA7B3}"/>
              </c:ext>
            </c:extLst>
          </c:dPt>
          <c:dPt>
            <c:idx val="6"/>
            <c:bubble3D val="0"/>
            <c:spPr>
              <a:solidFill>
                <a:srgbClr val="00873B"/>
              </a:solidFill>
              <a:ln w="19050">
                <a:solidFill>
                  <a:sysClr val="windowText" lastClr="000000"/>
                </a:solidFill>
              </a:ln>
              <a:effectLst/>
            </c:spPr>
            <c:extLst>
              <c:ext xmlns:c16="http://schemas.microsoft.com/office/drawing/2014/chart" uri="{C3380CC4-5D6E-409C-BE32-E72D297353CC}">
                <c16:uniqueId val="{0000000D-3703-455F-B876-7CDC84CBA7B3}"/>
              </c:ext>
            </c:extLst>
          </c:dPt>
          <c:dPt>
            <c:idx val="7"/>
            <c:bubble3D val="0"/>
            <c:spPr>
              <a:solidFill>
                <a:schemeClr val="accent2">
                  <a:lumMod val="60000"/>
                </a:schemeClr>
              </a:solidFill>
              <a:ln w="19050">
                <a:solidFill>
                  <a:sysClr val="windowText" lastClr="000000"/>
                </a:solidFill>
              </a:ln>
              <a:effectLst/>
            </c:spPr>
            <c:extLst>
              <c:ext xmlns:c16="http://schemas.microsoft.com/office/drawing/2014/chart" uri="{C3380CC4-5D6E-409C-BE32-E72D297353CC}">
                <c16:uniqueId val="{0000000F-3CDA-4A1C-BE61-576EAE356A0C}"/>
              </c:ext>
            </c:extLst>
          </c:dPt>
          <c:dLbls>
            <c:spPr>
              <a:solidFill>
                <a:srgbClr val="4F81BD">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6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Dashboard!$C$61:$C$68</c:f>
              <c:strCache>
                <c:ptCount val="7"/>
                <c:pt idx="0">
                  <c:v>Critical Risk</c:v>
                </c:pt>
                <c:pt idx="2">
                  <c:v>High Risk</c:v>
                </c:pt>
                <c:pt idx="4">
                  <c:v>Moderate Risk</c:v>
                </c:pt>
                <c:pt idx="6">
                  <c:v>Low Risk</c:v>
                </c:pt>
              </c:strCache>
            </c:strRef>
          </c:cat>
          <c:val>
            <c:numRef>
              <c:f>Dashboard!$D$61:$D$68</c:f>
              <c:numCache>
                <c:formatCode>General</c:formatCode>
                <c:ptCount val="8"/>
                <c:pt idx="0">
                  <c:v>1</c:v>
                </c:pt>
                <c:pt idx="2">
                  <c:v>5</c:v>
                </c:pt>
                <c:pt idx="4">
                  <c:v>7</c:v>
                </c:pt>
                <c:pt idx="6">
                  <c:v>5</c:v>
                </c:pt>
              </c:numCache>
            </c:numRef>
          </c:val>
          <c:extLst>
            <c:ext xmlns:c16="http://schemas.microsoft.com/office/drawing/2014/chart" uri="{C3380CC4-5D6E-409C-BE32-E72D297353CC}">
              <c16:uniqueId val="{00000008-4200-4991-BD89-3AA102B16EC4}"/>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Residual Risk Summary</a:t>
            </a:r>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089932091039966"/>
          <c:y val="0.2232770562182205"/>
          <c:w val="0.57434920252142874"/>
          <c:h val="0.66560095877492154"/>
        </c:manualLayout>
      </c:layout>
      <c:pieChart>
        <c:varyColors val="1"/>
        <c:ser>
          <c:idx val="0"/>
          <c:order val="0"/>
          <c:spPr>
            <a:ln>
              <a:solidFill>
                <a:schemeClr val="tx1"/>
              </a:solidFill>
            </a:ln>
          </c:spPr>
          <c:dPt>
            <c:idx val="0"/>
            <c:bubble3D val="0"/>
            <c:spPr>
              <a:solidFill>
                <a:srgbClr val="0DBC00"/>
              </a:solidFill>
              <a:ln w="19050">
                <a:solidFill>
                  <a:schemeClr val="tx1"/>
                </a:solidFill>
              </a:ln>
              <a:effectLst/>
            </c:spPr>
            <c:extLst>
              <c:ext xmlns:c16="http://schemas.microsoft.com/office/drawing/2014/chart" uri="{C3380CC4-5D6E-409C-BE32-E72D297353CC}">
                <c16:uniqueId val="{00000001-CA62-4381-B83A-1BA32D689B0D}"/>
              </c:ext>
            </c:extLst>
          </c:dPt>
          <c:dPt>
            <c:idx val="1"/>
            <c:bubble3D val="0"/>
            <c:spPr>
              <a:solidFill>
                <a:schemeClr val="accent3">
                  <a:lumMod val="75000"/>
                </a:schemeClr>
              </a:solidFill>
              <a:ln w="19050">
                <a:solidFill>
                  <a:schemeClr val="tx1"/>
                </a:solidFill>
              </a:ln>
              <a:effectLst/>
            </c:spPr>
            <c:extLst>
              <c:ext xmlns:c16="http://schemas.microsoft.com/office/drawing/2014/chart" uri="{C3380CC4-5D6E-409C-BE32-E72D297353CC}">
                <c16:uniqueId val="{00000003-CA62-4381-B83A-1BA32D689B0D}"/>
              </c:ext>
            </c:extLst>
          </c:dPt>
          <c:dPt>
            <c:idx val="2"/>
            <c:bubble3D val="0"/>
            <c:spPr>
              <a:solidFill>
                <a:srgbClr val="FFFF00"/>
              </a:solidFill>
              <a:ln w="19050">
                <a:solidFill>
                  <a:schemeClr val="tx1"/>
                </a:solidFill>
              </a:ln>
              <a:effectLst/>
            </c:spPr>
            <c:extLst>
              <c:ext xmlns:c16="http://schemas.microsoft.com/office/drawing/2014/chart" uri="{C3380CC4-5D6E-409C-BE32-E72D297353CC}">
                <c16:uniqueId val="{00000005-CA62-4381-B83A-1BA32D689B0D}"/>
              </c:ext>
            </c:extLst>
          </c:dPt>
          <c:dPt>
            <c:idx val="3"/>
            <c:bubble3D val="0"/>
            <c:spPr>
              <a:solidFill>
                <a:srgbClr val="FFC000"/>
              </a:solidFill>
              <a:ln w="19050">
                <a:solidFill>
                  <a:schemeClr val="tx1"/>
                </a:solidFill>
              </a:ln>
              <a:effectLst/>
            </c:spPr>
            <c:extLst>
              <c:ext xmlns:c16="http://schemas.microsoft.com/office/drawing/2014/chart" uri="{C3380CC4-5D6E-409C-BE32-E72D297353CC}">
                <c16:uniqueId val="{00000007-CA62-4381-B83A-1BA32D689B0D}"/>
              </c:ext>
            </c:extLst>
          </c:dPt>
          <c:dPt>
            <c:idx val="4"/>
            <c:bubble3D val="0"/>
            <c:spPr>
              <a:solidFill>
                <a:srgbClr val="FF0000"/>
              </a:solidFill>
              <a:ln w="19050">
                <a:solidFill>
                  <a:schemeClr val="tx1"/>
                </a:solidFill>
              </a:ln>
              <a:effectLst/>
            </c:spPr>
            <c:extLst>
              <c:ext xmlns:c16="http://schemas.microsoft.com/office/drawing/2014/chart" uri="{C3380CC4-5D6E-409C-BE32-E72D297353CC}">
                <c16:uniqueId val="{00000009-CA62-4381-B83A-1BA32D689B0D}"/>
              </c:ext>
            </c:extLst>
          </c:dPt>
          <c:dLbls>
            <c:spPr>
              <a:solidFill>
                <a:srgbClr val="4F81BD">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6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Dashboard!$C$8:$C$12</c:f>
              <c:strCache>
                <c:ptCount val="5"/>
                <c:pt idx="0">
                  <c:v>Insignificant</c:v>
                </c:pt>
                <c:pt idx="1">
                  <c:v>Minor</c:v>
                </c:pt>
                <c:pt idx="2">
                  <c:v>Moderate</c:v>
                </c:pt>
                <c:pt idx="3">
                  <c:v>Major</c:v>
                </c:pt>
                <c:pt idx="4">
                  <c:v>Severe</c:v>
                </c:pt>
              </c:strCache>
            </c:strRef>
          </c:cat>
          <c:val>
            <c:numRef>
              <c:f>Dashboard!$D$8:$D$12</c:f>
              <c:numCache>
                <c:formatCode>General</c:formatCode>
                <c:ptCount val="5"/>
                <c:pt idx="0">
                  <c:v>1</c:v>
                </c:pt>
                <c:pt idx="1">
                  <c:v>10</c:v>
                </c:pt>
                <c:pt idx="2">
                  <c:v>4</c:v>
                </c:pt>
                <c:pt idx="3">
                  <c:v>8</c:v>
                </c:pt>
                <c:pt idx="4">
                  <c:v>2</c:v>
                </c:pt>
              </c:numCache>
            </c:numRef>
          </c:val>
          <c:extLst>
            <c:ext xmlns:c16="http://schemas.microsoft.com/office/drawing/2014/chart" uri="{C3380CC4-5D6E-409C-BE32-E72D297353CC}">
              <c16:uniqueId val="{0000000A-CA62-4381-B83A-1BA32D689B0D}"/>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Issues</a:t>
            </a:r>
            <a:r>
              <a:rPr lang="en-US" sz="6000" b="1" baseline="0"/>
              <a:t> Summary</a:t>
            </a:r>
            <a:endParaRPr lang="en-US" sz="6000" b="1"/>
          </a:p>
        </c:rich>
      </c:tx>
      <c:layout>
        <c:manualLayout>
          <c:xMode val="edge"/>
          <c:yMode val="edge"/>
          <c:x val="0.35587547123439289"/>
          <c:y val="7.4174343192031532E-3"/>
        </c:manualLayout>
      </c:layout>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168582033813211"/>
          <c:y val="0.24786453711800419"/>
          <c:w val="0.66507158980026404"/>
          <c:h val="0.64961401158488863"/>
        </c:manualLayout>
      </c:layout>
      <c:pieChart>
        <c:varyColors val="1"/>
        <c:ser>
          <c:idx val="0"/>
          <c:order val="0"/>
          <c:spPr>
            <a:ln>
              <a:solidFill>
                <a:schemeClr val="tx1"/>
              </a:solidFill>
            </a:ln>
          </c:spPr>
          <c:dPt>
            <c:idx val="0"/>
            <c:bubble3D val="0"/>
            <c:spPr>
              <a:solidFill>
                <a:srgbClr val="92D050"/>
              </a:solidFill>
              <a:ln w="19050">
                <a:solidFill>
                  <a:schemeClr val="tx1"/>
                </a:solidFill>
              </a:ln>
              <a:effectLst/>
            </c:spPr>
            <c:extLst>
              <c:ext xmlns:c16="http://schemas.microsoft.com/office/drawing/2014/chart" uri="{C3380CC4-5D6E-409C-BE32-E72D297353CC}">
                <c16:uniqueId val="{00000003-9402-48D6-98C9-93649A4CF8A1}"/>
              </c:ext>
            </c:extLst>
          </c:dPt>
          <c:dPt>
            <c:idx val="1"/>
            <c:bubble3D val="0"/>
            <c:spPr>
              <a:solidFill>
                <a:srgbClr val="FFFF00"/>
              </a:solidFill>
              <a:ln w="19050">
                <a:solidFill>
                  <a:schemeClr val="tx1"/>
                </a:solidFill>
              </a:ln>
              <a:effectLst/>
            </c:spPr>
            <c:extLst>
              <c:ext xmlns:c16="http://schemas.microsoft.com/office/drawing/2014/chart" uri="{C3380CC4-5D6E-409C-BE32-E72D297353CC}">
                <c16:uniqueId val="{00000004-9402-48D6-98C9-93649A4CF8A1}"/>
              </c:ext>
            </c:extLst>
          </c:dPt>
          <c:dPt>
            <c:idx val="2"/>
            <c:bubble3D val="0"/>
            <c:spPr>
              <a:solidFill>
                <a:srgbClr val="FF0000"/>
              </a:solidFill>
              <a:ln w="19050">
                <a:solidFill>
                  <a:schemeClr val="tx1"/>
                </a:solidFill>
              </a:ln>
              <a:effectLst/>
            </c:spPr>
            <c:extLst>
              <c:ext xmlns:c16="http://schemas.microsoft.com/office/drawing/2014/chart" uri="{C3380CC4-5D6E-409C-BE32-E72D297353CC}">
                <c16:uniqueId val="{00000002-9402-48D6-98C9-93649A4CF8A1}"/>
              </c:ext>
            </c:extLst>
          </c:dPt>
          <c:dLbls>
            <c:spPr>
              <a:solidFill>
                <a:srgbClr val="4F81BD">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6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Dashboard!$C$21:$C$23</c:f>
              <c:strCache>
                <c:ptCount val="3"/>
                <c:pt idx="0">
                  <c:v>Low</c:v>
                </c:pt>
                <c:pt idx="1">
                  <c:v>Medium</c:v>
                </c:pt>
                <c:pt idx="2">
                  <c:v>High</c:v>
                </c:pt>
              </c:strCache>
            </c:strRef>
          </c:cat>
          <c:val>
            <c:numRef>
              <c:f>Dashboard!$D$21:$D$23</c:f>
              <c:numCache>
                <c:formatCode>General</c:formatCode>
                <c:ptCount val="3"/>
                <c:pt idx="0">
                  <c:v>8</c:v>
                </c:pt>
                <c:pt idx="1">
                  <c:v>15</c:v>
                </c:pt>
                <c:pt idx="2">
                  <c:v>7</c:v>
                </c:pt>
              </c:numCache>
            </c:numRef>
          </c:val>
          <c:extLst>
            <c:ext xmlns:c16="http://schemas.microsoft.com/office/drawing/2014/chart" uri="{C3380CC4-5D6E-409C-BE32-E72D297353CC}">
              <c16:uniqueId val="{00000000-9402-48D6-98C9-93649A4CF8A1}"/>
            </c:ext>
          </c:extLst>
        </c:ser>
        <c:dLbls>
          <c:showLegendKey val="0"/>
          <c:showVal val="0"/>
          <c:showCatName val="0"/>
          <c:showSerName val="0"/>
          <c:showPercent val="0"/>
          <c:showBubbleSize val="0"/>
          <c:showLeaderLines val="0"/>
        </c:dLbls>
        <c:firstSliceAng val="0"/>
        <c:extLst>
          <c:ext xmlns:c15="http://schemas.microsoft.com/office/drawing/2012/chart" uri="{02D57815-91ED-43cb-92C2-25804820EDAC}">
            <c15:filteredPieSeries>
              <c15: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7-4E6F-441D-9DAC-8A76D41418F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4E6F-441D-9DAC-8A76D41418F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4E6F-441D-9DAC-8A76D41418FA}"/>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uri="{CE6537A1-D6FC-4f65-9D91-7224C49458BB}">
                      <c15:spPr xmlns:c15="http://schemas.microsoft.com/office/drawing/2012/chart">
                        <a:prstGeom prst="wedgeRectCallout">
                          <a:avLst/>
                        </a:prstGeom>
                        <a:noFill/>
                        <a:ln>
                          <a:noFill/>
                        </a:ln>
                      </c15:spPr>
                    </c:ext>
                  </c:extLst>
                </c:dLbls>
                <c:cat>
                  <c:strRef>
                    <c:extLst>
                      <c:ext uri="{02D57815-91ED-43cb-92C2-25804820EDAC}">
                        <c15:formulaRef>
                          <c15:sqref>Dashboard!$C$21:$C$23</c15:sqref>
                        </c15:formulaRef>
                      </c:ext>
                    </c:extLst>
                    <c:strCache>
                      <c:ptCount val="3"/>
                      <c:pt idx="0">
                        <c:v>Low</c:v>
                      </c:pt>
                      <c:pt idx="1">
                        <c:v>Medium</c:v>
                      </c:pt>
                      <c:pt idx="2">
                        <c:v>High</c:v>
                      </c:pt>
                    </c:strCache>
                  </c:strRef>
                </c:cat>
                <c:val>
                  <c:numRef>
                    <c:extLst>
                      <c:ext uri="{02D57815-91ED-43cb-92C2-25804820EDAC}">
                        <c15:formulaRef>
                          <c15:sqref>Dashboard!$E$21:$E$23</c15:sqref>
                        </c15:formulaRef>
                      </c:ext>
                    </c:extLst>
                    <c:numCache>
                      <c:formatCode>General</c:formatCode>
                      <c:ptCount val="3"/>
                    </c:numCache>
                  </c:numRef>
                </c:val>
                <c:extLst>
                  <c:ext xmlns:c16="http://schemas.microsoft.com/office/drawing/2014/chart" uri="{C3380CC4-5D6E-409C-BE32-E72D297353CC}">
                    <c16:uniqueId val="{00000001-9402-48D6-98C9-93649A4CF8A1}"/>
                  </c:ext>
                </c:extLst>
              </c15:ser>
            </c15:filteredPieSeries>
          </c:ext>
        </c:extLst>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Issues</a:t>
            </a:r>
            <a:r>
              <a:rPr lang="en-US" sz="6000" b="1" baseline="0"/>
              <a:t> Statues</a:t>
            </a:r>
            <a:endParaRPr lang="en-US" sz="6000" b="1"/>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4580103366217296"/>
          <c:y val="0.10129025311781319"/>
          <c:w val="0.64404335725390005"/>
          <c:h val="0.88453337146172839"/>
        </c:manualLayout>
      </c:layout>
      <c:barChart>
        <c:barDir val="bar"/>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Dashboard!$I$19:$I$23</c:f>
              <c:strCache>
                <c:ptCount val="5"/>
                <c:pt idx="0">
                  <c:v>1. Investigating</c:v>
                </c:pt>
                <c:pt idx="1">
                  <c:v>2. Escalated</c:v>
                </c:pt>
                <c:pt idx="2">
                  <c:v>3. Implementing Fix</c:v>
                </c:pt>
                <c:pt idx="3">
                  <c:v>4. Resolved</c:v>
                </c:pt>
                <c:pt idx="4">
                  <c:v>5. Unassigned</c:v>
                </c:pt>
              </c:strCache>
            </c:strRef>
          </c:cat>
          <c:val>
            <c:numRef>
              <c:f>Dashboard!$J$19:$J$23</c:f>
              <c:numCache>
                <c:formatCode>General</c:formatCode>
                <c:ptCount val="5"/>
                <c:pt idx="0">
                  <c:v>1</c:v>
                </c:pt>
                <c:pt idx="1">
                  <c:v>6</c:v>
                </c:pt>
                <c:pt idx="2">
                  <c:v>24</c:v>
                </c:pt>
                <c:pt idx="3">
                  <c:v>51</c:v>
                </c:pt>
                <c:pt idx="4">
                  <c:v>1</c:v>
                </c:pt>
              </c:numCache>
            </c:numRef>
          </c:val>
          <c:extLst>
            <c:ext xmlns:c16="http://schemas.microsoft.com/office/drawing/2014/chart" uri="{C3380CC4-5D6E-409C-BE32-E72D297353CC}">
              <c16:uniqueId val="{00000000-737D-464D-9655-C01A2026DA2D}"/>
            </c:ext>
          </c:extLst>
        </c:ser>
        <c:dLbls>
          <c:showLegendKey val="0"/>
          <c:showVal val="0"/>
          <c:showCatName val="0"/>
          <c:showSerName val="0"/>
          <c:showPercent val="0"/>
          <c:showBubbleSize val="0"/>
        </c:dLbls>
        <c:gapWidth val="182"/>
        <c:axId val="2147287696"/>
        <c:axId val="2147299696"/>
      </c:barChart>
      <c:catAx>
        <c:axId val="2147287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3600" b="1" i="0" u="none" strike="noStrike" kern="1200" baseline="0">
                <a:solidFill>
                  <a:schemeClr val="tx1">
                    <a:lumMod val="65000"/>
                    <a:lumOff val="35000"/>
                  </a:schemeClr>
                </a:solidFill>
                <a:latin typeface="+mn-lt"/>
                <a:ea typeface="+mn-ea"/>
                <a:cs typeface="+mn-cs"/>
              </a:defRPr>
            </a:pPr>
            <a:endParaRPr lang="en-US"/>
          </a:p>
        </c:txPr>
        <c:crossAx val="2147299696"/>
        <c:crosses val="autoZero"/>
        <c:auto val="1"/>
        <c:lblAlgn val="ctr"/>
        <c:lblOffset val="100"/>
        <c:noMultiLvlLbl val="0"/>
      </c:catAx>
      <c:valAx>
        <c:axId val="2147299696"/>
        <c:scaling>
          <c:orientation val="minMax"/>
        </c:scaling>
        <c:delete val="1"/>
        <c:axPos val="b"/>
        <c:numFmt formatCode="General" sourceLinked="1"/>
        <c:majorTickMark val="none"/>
        <c:minorTickMark val="none"/>
        <c:tickLblPos val="nextTo"/>
        <c:crossAx val="2147287696"/>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[Programme Risk Register.xlsm]Pivot_table!PivotTable3</c:name>
    <c:fmtId val="9"/>
  </c:pivotSource>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Gross/Risudual ALE per Workstream</a:t>
            </a:r>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clip" horzOverflow="clip" vert="horz" wrap="square" lIns="822960" tIns="19050" rIns="38100" bIns="19050" anchor="ctr" anchorCtr="1">
              <a:spAutoFit/>
            </a:bodyPr>
            <a:lstStyle/>
            <a:p>
              <a:pPr>
                <a:defRPr sz="4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4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792027492042354"/>
          <c:y val="3.463823336372282E-2"/>
          <c:w val="0.70556888444528965"/>
          <c:h val="0.91760357955255589"/>
        </c:manualLayout>
      </c:layout>
      <c:barChart>
        <c:barDir val="bar"/>
        <c:grouping val="clustered"/>
        <c:varyColors val="0"/>
        <c:ser>
          <c:idx val="0"/>
          <c:order val="0"/>
          <c:tx>
            <c:strRef>
              <c:f>Pivot_table!$B$1</c:f>
              <c:strCache>
                <c:ptCount val="1"/>
                <c:pt idx="0">
                  <c:v>Sum of Gross ALE</c:v>
                </c:pt>
              </c:strCache>
            </c:strRef>
          </c:tx>
          <c:spPr>
            <a:solidFill>
              <a:schemeClr val="accent1"/>
            </a:solidFill>
            <a:ln>
              <a:noFill/>
            </a:ln>
            <a:effectLst/>
          </c:spPr>
          <c:invertIfNegative val="0"/>
          <c:dLbls>
            <c:spPr>
              <a:noFill/>
              <a:ln>
                <a:noFill/>
              </a:ln>
              <a:effectLst/>
            </c:spPr>
            <c:txPr>
              <a:bodyPr rot="0" spcFirstLastPara="1" vertOverflow="clip" horzOverflow="clip" vert="horz" wrap="square" lIns="822960" tIns="19050" rIns="38100" bIns="19050" anchor="ctr" anchorCtr="1">
                <a:spAutoFit/>
              </a:bodyPr>
              <a:lstStyle/>
              <a:p>
                <a:pPr>
                  <a:defRPr sz="4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Pivot_table!$A$2:$A$9</c:f>
              <c:strCache>
                <c:ptCount val="7"/>
                <c:pt idx="0">
                  <c:v>Delivery Performance</c:v>
                </c:pt>
                <c:pt idx="1">
                  <c:v>Financial Viability</c:v>
                </c:pt>
                <c:pt idx="2">
                  <c:v>Regulatory &amp; Compliance</c:v>
                </c:pt>
                <c:pt idx="3">
                  <c:v>Resource Resilience</c:v>
                </c:pt>
                <c:pt idx="4">
                  <c:v>Stakeholder Confidence</c:v>
                </c:pt>
                <c:pt idx="5">
                  <c:v>Strategic Alignment</c:v>
                </c:pt>
                <c:pt idx="6">
                  <c:v>Technical Integration</c:v>
                </c:pt>
              </c:strCache>
            </c:strRef>
          </c:cat>
          <c:val>
            <c:numRef>
              <c:f>Pivot_table!$B$2:$B$9</c:f>
              <c:numCache>
                <c:formatCode>[$£-809]#,##0.00</c:formatCode>
                <c:ptCount val="7"/>
                <c:pt idx="0">
                  <c:v>12000000</c:v>
                </c:pt>
                <c:pt idx="1">
                  <c:v>154600000</c:v>
                </c:pt>
                <c:pt idx="2">
                  <c:v>600000</c:v>
                </c:pt>
                <c:pt idx="3">
                  <c:v>18000000</c:v>
                </c:pt>
                <c:pt idx="4">
                  <c:v>0</c:v>
                </c:pt>
                <c:pt idx="5">
                  <c:v>27000000</c:v>
                </c:pt>
                <c:pt idx="6">
                  <c:v>0</c:v>
                </c:pt>
              </c:numCache>
            </c:numRef>
          </c:val>
          <c:extLst>
            <c:ext xmlns:c16="http://schemas.microsoft.com/office/drawing/2014/chart" uri="{C3380CC4-5D6E-409C-BE32-E72D297353CC}">
              <c16:uniqueId val="{00000000-1396-4CA6-B134-10C15A02162E}"/>
            </c:ext>
          </c:extLst>
        </c:ser>
        <c:ser>
          <c:idx val="1"/>
          <c:order val="1"/>
          <c:tx>
            <c:strRef>
              <c:f>Pivot_table!$C$1</c:f>
              <c:strCache>
                <c:ptCount val="1"/>
                <c:pt idx="0">
                  <c:v>Sum of Residual 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4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Pivot_table!$A$2:$A$9</c:f>
              <c:strCache>
                <c:ptCount val="7"/>
                <c:pt idx="0">
                  <c:v>Delivery Performance</c:v>
                </c:pt>
                <c:pt idx="1">
                  <c:v>Financial Viability</c:v>
                </c:pt>
                <c:pt idx="2">
                  <c:v>Regulatory &amp; Compliance</c:v>
                </c:pt>
                <c:pt idx="3">
                  <c:v>Resource Resilience</c:v>
                </c:pt>
                <c:pt idx="4">
                  <c:v>Stakeholder Confidence</c:v>
                </c:pt>
                <c:pt idx="5">
                  <c:v>Strategic Alignment</c:v>
                </c:pt>
                <c:pt idx="6">
                  <c:v>Technical Integration</c:v>
                </c:pt>
              </c:strCache>
            </c:strRef>
          </c:cat>
          <c:val>
            <c:numRef>
              <c:f>Pivot_table!$C$2:$C$9</c:f>
              <c:numCache>
                <c:formatCode>[$£-809]#,##0.00</c:formatCode>
                <c:ptCount val="7"/>
                <c:pt idx="0">
                  <c:v>18400000</c:v>
                </c:pt>
                <c:pt idx="1">
                  <c:v>111100000</c:v>
                </c:pt>
                <c:pt idx="2">
                  <c:v>9400000</c:v>
                </c:pt>
                <c:pt idx="3">
                  <c:v>6800000</c:v>
                </c:pt>
                <c:pt idx="4">
                  <c:v>0</c:v>
                </c:pt>
                <c:pt idx="5">
                  <c:v>26400001.800000001</c:v>
                </c:pt>
                <c:pt idx="6">
                  <c:v>0</c:v>
                </c:pt>
              </c:numCache>
            </c:numRef>
          </c:val>
          <c:extLst>
            <c:ext xmlns:c16="http://schemas.microsoft.com/office/drawing/2014/chart" uri="{C3380CC4-5D6E-409C-BE32-E72D297353CC}">
              <c16:uniqueId val="{00000001-1396-4CA6-B134-10C15A02162E}"/>
            </c:ext>
          </c:extLst>
        </c:ser>
        <c:dLbls>
          <c:showLegendKey val="0"/>
          <c:showVal val="0"/>
          <c:showCatName val="0"/>
          <c:showSerName val="0"/>
          <c:showPercent val="0"/>
          <c:showBubbleSize val="0"/>
        </c:dLbls>
        <c:gapWidth val="70"/>
        <c:axId val="1698252367"/>
        <c:axId val="1698245647"/>
      </c:barChart>
      <c:catAx>
        <c:axId val="1698252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4800" b="1" i="0" u="none" strike="noStrike" kern="1200" baseline="0">
                <a:solidFill>
                  <a:schemeClr val="tx1">
                    <a:lumMod val="65000"/>
                    <a:lumOff val="35000"/>
                  </a:schemeClr>
                </a:solidFill>
                <a:latin typeface="+mn-lt"/>
                <a:ea typeface="+mn-ea"/>
                <a:cs typeface="+mn-cs"/>
              </a:defRPr>
            </a:pPr>
            <a:endParaRPr lang="en-US"/>
          </a:p>
        </c:txPr>
        <c:crossAx val="1698245647"/>
        <c:crosses val="autoZero"/>
        <c:auto val="1"/>
        <c:lblAlgn val="ctr"/>
        <c:lblOffset val="100"/>
        <c:noMultiLvlLbl val="0"/>
      </c:catAx>
      <c:valAx>
        <c:axId val="1698245647"/>
        <c:scaling>
          <c:orientation val="minMax"/>
        </c:scaling>
        <c:delete val="1"/>
        <c:axPos val="b"/>
        <c:numFmt formatCode="[$£-809]#,##0.00" sourceLinked="1"/>
        <c:majorTickMark val="none"/>
        <c:minorTickMark val="none"/>
        <c:tickLblPos val="nextTo"/>
        <c:crossAx val="1698252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6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762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Open Risks by Age Bucket</a:t>
            </a:r>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Dashboard!$R$8:$R$12</c:f>
              <c:strCache>
                <c:ptCount val="5"/>
                <c:pt idx="0">
                  <c:v>0–3 months</c:v>
                </c:pt>
                <c:pt idx="1">
                  <c:v>3–6 months</c:v>
                </c:pt>
                <c:pt idx="2">
                  <c:v>6–12 months</c:v>
                </c:pt>
                <c:pt idx="3">
                  <c:v>≥1 year</c:v>
                </c:pt>
                <c:pt idx="4">
                  <c:v>≥2 year</c:v>
                </c:pt>
              </c:strCache>
            </c:strRef>
          </c:cat>
          <c:val>
            <c:numRef>
              <c:f>Dashboard!$S$8:$S$12</c:f>
              <c:numCache>
                <c:formatCode>General</c:formatCode>
                <c:ptCount val="5"/>
                <c:pt idx="0">
                  <c:v>1</c:v>
                </c:pt>
                <c:pt idx="1">
                  <c:v>0</c:v>
                </c:pt>
                <c:pt idx="2">
                  <c:v>0</c:v>
                </c:pt>
                <c:pt idx="3">
                  <c:v>14</c:v>
                </c:pt>
                <c:pt idx="4">
                  <c:v>10</c:v>
                </c:pt>
              </c:numCache>
            </c:numRef>
          </c:val>
          <c:extLst>
            <c:ext xmlns:c16="http://schemas.microsoft.com/office/drawing/2014/chart" uri="{C3380CC4-5D6E-409C-BE32-E72D297353CC}">
              <c16:uniqueId val="{00000000-21A8-410E-9B3B-A9CA89AE33F9}"/>
            </c:ext>
          </c:extLst>
        </c:ser>
        <c:dLbls>
          <c:dLblPos val="outEnd"/>
          <c:showLegendKey val="0"/>
          <c:showVal val="1"/>
          <c:showCatName val="0"/>
          <c:showSerName val="0"/>
          <c:showPercent val="0"/>
          <c:showBubbleSize val="0"/>
        </c:dLbls>
        <c:gapWidth val="219"/>
        <c:overlap val="-27"/>
        <c:axId val="103242127"/>
        <c:axId val="103237807"/>
      </c:barChart>
      <c:catAx>
        <c:axId val="103242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4000" b="1" i="0" u="none" strike="noStrike" kern="1200" baseline="0">
                <a:solidFill>
                  <a:schemeClr val="tx1">
                    <a:lumMod val="65000"/>
                    <a:lumOff val="35000"/>
                  </a:schemeClr>
                </a:solidFill>
                <a:latin typeface="+mn-lt"/>
                <a:ea typeface="+mn-ea"/>
                <a:cs typeface="+mn-cs"/>
              </a:defRPr>
            </a:pPr>
            <a:endParaRPr lang="en-US"/>
          </a:p>
        </c:txPr>
        <c:crossAx val="103237807"/>
        <c:crosses val="autoZero"/>
        <c:auto val="1"/>
        <c:lblAlgn val="ctr"/>
        <c:lblOffset val="100"/>
        <c:noMultiLvlLbl val="0"/>
      </c:catAx>
      <c:valAx>
        <c:axId val="103237807"/>
        <c:scaling>
          <c:orientation val="minMax"/>
        </c:scaling>
        <c:delete val="1"/>
        <c:axPos val="l"/>
        <c:numFmt formatCode="General" sourceLinked="1"/>
        <c:majorTickMark val="none"/>
        <c:minorTickMark val="none"/>
        <c:tickLblPos val="nextTo"/>
        <c:crossAx val="10324212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Open Risks by Age Bucket</a:t>
            </a:r>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Dashboard!$N$19:$N$23</c:f>
              <c:strCache>
                <c:ptCount val="5"/>
                <c:pt idx="0">
                  <c:v>0–3 months</c:v>
                </c:pt>
                <c:pt idx="1">
                  <c:v>3–6 months</c:v>
                </c:pt>
                <c:pt idx="2">
                  <c:v>6–12 months</c:v>
                </c:pt>
                <c:pt idx="3">
                  <c:v>≥1 year</c:v>
                </c:pt>
                <c:pt idx="4">
                  <c:v>≥2 year</c:v>
                </c:pt>
              </c:strCache>
            </c:strRef>
          </c:cat>
          <c:val>
            <c:numRef>
              <c:f>Dashboard!$O$19:$O$23</c:f>
              <c:numCache>
                <c:formatCode>General</c:formatCode>
                <c:ptCount val="5"/>
                <c:pt idx="0">
                  <c:v>0</c:v>
                </c:pt>
                <c:pt idx="1">
                  <c:v>0</c:v>
                </c:pt>
                <c:pt idx="2">
                  <c:v>23</c:v>
                </c:pt>
                <c:pt idx="3">
                  <c:v>2</c:v>
                </c:pt>
                <c:pt idx="4">
                  <c:v>5</c:v>
                </c:pt>
              </c:numCache>
            </c:numRef>
          </c:val>
          <c:extLst>
            <c:ext xmlns:c16="http://schemas.microsoft.com/office/drawing/2014/chart" uri="{C3380CC4-5D6E-409C-BE32-E72D297353CC}">
              <c16:uniqueId val="{00000000-B87B-4010-9ED5-20C1858C0757}"/>
            </c:ext>
          </c:extLst>
        </c:ser>
        <c:dLbls>
          <c:dLblPos val="outEnd"/>
          <c:showLegendKey val="0"/>
          <c:showVal val="1"/>
          <c:showCatName val="0"/>
          <c:showSerName val="0"/>
          <c:showPercent val="0"/>
          <c:showBubbleSize val="0"/>
        </c:dLbls>
        <c:gapWidth val="219"/>
        <c:overlap val="-27"/>
        <c:axId val="103242127"/>
        <c:axId val="103237807"/>
      </c:barChart>
      <c:catAx>
        <c:axId val="103242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4000" b="1" i="0" u="none" strike="noStrike" kern="1200" baseline="0">
                <a:solidFill>
                  <a:schemeClr val="tx1">
                    <a:lumMod val="65000"/>
                    <a:lumOff val="35000"/>
                  </a:schemeClr>
                </a:solidFill>
                <a:latin typeface="+mn-lt"/>
                <a:ea typeface="+mn-ea"/>
                <a:cs typeface="+mn-cs"/>
              </a:defRPr>
            </a:pPr>
            <a:endParaRPr lang="en-US"/>
          </a:p>
        </c:txPr>
        <c:crossAx val="103237807"/>
        <c:crosses val="autoZero"/>
        <c:auto val="1"/>
        <c:lblAlgn val="ctr"/>
        <c:lblOffset val="100"/>
        <c:noMultiLvlLbl val="0"/>
      </c:catAx>
      <c:valAx>
        <c:axId val="103237807"/>
        <c:scaling>
          <c:orientation val="minMax"/>
        </c:scaling>
        <c:delete val="1"/>
        <c:axPos val="l"/>
        <c:numFmt formatCode="General" sourceLinked="1"/>
        <c:majorTickMark val="none"/>
        <c:minorTickMark val="none"/>
        <c:tickLblPos val="nextTo"/>
        <c:crossAx val="10324212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KPI</a:t>
            </a:r>
            <a:r>
              <a:rPr lang="en-US" sz="6000" b="1" baseline="0"/>
              <a:t> Current Value Vs Target Value</a:t>
            </a:r>
            <a:endParaRPr lang="en-US" sz="6000" b="1"/>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384871029052402"/>
          <c:y val="4.3689320388351166E-5"/>
          <c:w val="0.73263572087971762"/>
          <c:h val="0.93382779219636647"/>
        </c:manualLayout>
      </c:layout>
      <c:barChart>
        <c:barDir val="bar"/>
        <c:grouping val="clustered"/>
        <c:varyColors val="0"/>
        <c:ser>
          <c:idx val="0"/>
          <c:order val="0"/>
          <c:tx>
            <c:strRef>
              <c:f>Dashboard!$AI$45</c:f>
              <c:strCache>
                <c:ptCount val="1"/>
                <c:pt idx="0">
                  <c:v>Current Value</c:v>
                </c:pt>
              </c:strCache>
            </c:strRef>
          </c:tx>
          <c:spPr>
            <a:solidFill>
              <a:schemeClr val="tx2">
                <a:lumMod val="40000"/>
                <a:lumOff val="60000"/>
              </a:schemeClr>
            </a:solidFill>
            <a:ln>
              <a:solidFill>
                <a:schemeClr val="tx1"/>
              </a:solidFill>
            </a:ln>
            <a:effectLst/>
          </c:spPr>
          <c:invertIfNegative val="0"/>
          <c:cat>
            <c:strRef>
              <c:f>Dashboard!$AH$46:$AH$68</c:f>
              <c:strCache>
                <c:ptCount val="12"/>
                <c:pt idx="0">
                  <c:v>Cost Forecast Accuracy</c:v>
                </c:pt>
                <c:pt idx="1">
                  <c:v>Schedule Forecast Reliability</c:v>
                </c:pt>
                <c:pt idx="2">
                  <c:v>Change Order Impact</c:v>
                </c:pt>
                <c:pt idx="3">
                  <c:v>Budget Performance Rate</c:v>
                </c:pt>
                <c:pt idx="4">
                  <c:v>Contingency Management Score</c:v>
                </c:pt>
                <c:pt idx="5">
                  <c:v>Defect Resolution Rate</c:v>
                </c:pt>
                <c:pt idx="6">
                  <c:v>Quality Assurance Success</c:v>
                </c:pt>
                <c:pt idx="7">
                  <c:v>Post-Occupancy Satisfaction</c:v>
                </c:pt>
                <c:pt idx="8">
                  <c:v>Reporting Timeliness</c:v>
                </c:pt>
                <c:pt idx="9">
                  <c:v>Contractor Performance Index</c:v>
                </c:pt>
                <c:pt idx="10">
                  <c:v>Safety Performance Index</c:v>
                </c:pt>
                <c:pt idx="11">
                  <c:v>Project Outcome Alignment Index</c:v>
                </c:pt>
              </c:strCache>
            </c:strRef>
          </c:cat>
          <c:val>
            <c:numRef>
              <c:f>Dashboard!$AI$46:$AI$68</c:f>
              <c:numCache>
                <c:formatCode>0%</c:formatCode>
                <c:ptCount val="23"/>
                <c:pt idx="0">
                  <c:v>0.88</c:v>
                </c:pt>
                <c:pt idx="1">
                  <c:v>1.06</c:v>
                </c:pt>
                <c:pt idx="2">
                  <c:v>0.05</c:v>
                </c:pt>
                <c:pt idx="3">
                  <c:v>0.8</c:v>
                </c:pt>
                <c:pt idx="4">
                  <c:v>0.49</c:v>
                </c:pt>
                <c:pt idx="5">
                  <c:v>0.95</c:v>
                </c:pt>
                <c:pt idx="6">
                  <c:v>0.5</c:v>
                </c:pt>
                <c:pt idx="7">
                  <c:v>1.4</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0-EB5D-4032-A9A7-7E2CA6D718B9}"/>
            </c:ext>
          </c:extLst>
        </c:ser>
        <c:ser>
          <c:idx val="1"/>
          <c:order val="1"/>
          <c:tx>
            <c:strRef>
              <c:f>Dashboard!$AJ$45</c:f>
              <c:strCache>
                <c:ptCount val="1"/>
                <c:pt idx="0">
                  <c:v>Target Value</c:v>
                </c:pt>
              </c:strCache>
            </c:strRef>
          </c:tx>
          <c:spPr>
            <a:solidFill>
              <a:srgbClr val="92D050"/>
            </a:solidFill>
            <a:ln>
              <a:solidFill>
                <a:schemeClr val="tx1"/>
              </a:solidFill>
            </a:ln>
            <a:effectLst/>
          </c:spPr>
          <c:invertIfNegative val="0"/>
          <c:cat>
            <c:strRef>
              <c:f>Dashboard!$AH$46:$AH$68</c:f>
              <c:strCache>
                <c:ptCount val="12"/>
                <c:pt idx="0">
                  <c:v>Cost Forecast Accuracy</c:v>
                </c:pt>
                <c:pt idx="1">
                  <c:v>Schedule Forecast Reliability</c:v>
                </c:pt>
                <c:pt idx="2">
                  <c:v>Change Order Impact</c:v>
                </c:pt>
                <c:pt idx="3">
                  <c:v>Budget Performance Rate</c:v>
                </c:pt>
                <c:pt idx="4">
                  <c:v>Contingency Management Score</c:v>
                </c:pt>
                <c:pt idx="5">
                  <c:v>Defect Resolution Rate</c:v>
                </c:pt>
                <c:pt idx="6">
                  <c:v>Quality Assurance Success</c:v>
                </c:pt>
                <c:pt idx="7">
                  <c:v>Post-Occupancy Satisfaction</c:v>
                </c:pt>
                <c:pt idx="8">
                  <c:v>Reporting Timeliness</c:v>
                </c:pt>
                <c:pt idx="9">
                  <c:v>Contractor Performance Index</c:v>
                </c:pt>
                <c:pt idx="10">
                  <c:v>Safety Performance Index</c:v>
                </c:pt>
                <c:pt idx="11">
                  <c:v>Project Outcome Alignment Index</c:v>
                </c:pt>
              </c:strCache>
            </c:strRef>
          </c:cat>
          <c:val>
            <c:numRef>
              <c:f>Dashboard!$AJ$46:$AJ$68</c:f>
              <c:numCache>
                <c:formatCode>0%</c:formatCode>
                <c:ptCount val="23"/>
                <c:pt idx="0">
                  <c:v>0</c:v>
                </c:pt>
                <c:pt idx="1">
                  <c:v>0</c:v>
                </c:pt>
                <c:pt idx="2">
                  <c:v>0.05</c:v>
                </c:pt>
                <c:pt idx="3">
                  <c:v>0.85</c:v>
                </c:pt>
                <c:pt idx="4">
                  <c:v>0.4</c:v>
                </c:pt>
                <c:pt idx="5">
                  <c:v>0.95</c:v>
                </c:pt>
                <c:pt idx="6">
                  <c:v>0.9</c:v>
                </c:pt>
                <c:pt idx="7">
                  <c:v>0.8</c:v>
                </c:pt>
                <c:pt idx="8">
                  <c:v>0.95</c:v>
                </c:pt>
                <c:pt idx="9">
                  <c:v>0.85</c:v>
                </c:pt>
                <c:pt idx="10">
                  <c:v>0.5</c:v>
                </c:pt>
                <c:pt idx="11">
                  <c:v>0.95</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1-EB5D-4032-A9A7-7E2CA6D718B9}"/>
            </c:ext>
          </c:extLst>
        </c:ser>
        <c:dLbls>
          <c:showLegendKey val="0"/>
          <c:showVal val="0"/>
          <c:showCatName val="0"/>
          <c:showSerName val="0"/>
          <c:showPercent val="0"/>
          <c:showBubbleSize val="0"/>
        </c:dLbls>
        <c:gapWidth val="182"/>
        <c:axId val="1251867455"/>
        <c:axId val="1251859295"/>
      </c:barChart>
      <c:catAx>
        <c:axId val="12518674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4800" b="1" i="0" u="none" strike="noStrike" kern="1200" baseline="0">
                <a:solidFill>
                  <a:schemeClr val="tx1">
                    <a:lumMod val="65000"/>
                    <a:lumOff val="35000"/>
                  </a:schemeClr>
                </a:solidFill>
                <a:latin typeface="+mn-lt"/>
                <a:ea typeface="+mn-ea"/>
                <a:cs typeface="+mn-cs"/>
              </a:defRPr>
            </a:pPr>
            <a:endParaRPr lang="en-US"/>
          </a:p>
        </c:txPr>
        <c:crossAx val="1251859295"/>
        <c:crosses val="autoZero"/>
        <c:auto val="1"/>
        <c:lblAlgn val="ctr"/>
        <c:lblOffset val="100"/>
        <c:noMultiLvlLbl val="0"/>
      </c:catAx>
      <c:valAx>
        <c:axId val="1251859295"/>
        <c:scaling>
          <c:orientation val="minMax"/>
          <c:max val="2"/>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5400" b="1" i="0" u="none" strike="noStrike" kern="1200" baseline="0">
                <a:solidFill>
                  <a:schemeClr val="tx1">
                    <a:lumMod val="65000"/>
                    <a:lumOff val="35000"/>
                  </a:schemeClr>
                </a:solidFill>
                <a:latin typeface="+mn-lt"/>
                <a:ea typeface="+mn-ea"/>
                <a:cs typeface="+mn-cs"/>
              </a:defRPr>
            </a:pPr>
            <a:endParaRPr lang="en-US"/>
          </a:p>
        </c:txPr>
        <c:crossAx val="12518674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6000" b="1"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[Programme Risk Register.xlsm]Pivot_table!PivotTable3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Gross/Risudual ALE per Workstream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534367275421155"/>
          <c:y val="3.3107591852830708E-2"/>
          <c:w val="0.440700994135793"/>
          <c:h val="0.89707070094246433"/>
        </c:manualLayout>
      </c:layout>
      <c:barChart>
        <c:barDir val="bar"/>
        <c:grouping val="clustered"/>
        <c:varyColors val="0"/>
        <c:ser>
          <c:idx val="0"/>
          <c:order val="0"/>
          <c:tx>
            <c:strRef>
              <c:f>Pivot_table!$B$1</c:f>
              <c:strCache>
                <c:ptCount val="1"/>
                <c:pt idx="0">
                  <c:v>Sum of Gross 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Pivot_table!$A$2:$A$9</c:f>
              <c:strCache>
                <c:ptCount val="7"/>
                <c:pt idx="0">
                  <c:v>Delivery Performance</c:v>
                </c:pt>
                <c:pt idx="1">
                  <c:v>Financial Viability</c:v>
                </c:pt>
                <c:pt idx="2">
                  <c:v>Regulatory &amp; Compliance</c:v>
                </c:pt>
                <c:pt idx="3">
                  <c:v>Resource Resilience</c:v>
                </c:pt>
                <c:pt idx="4">
                  <c:v>Stakeholder Confidence</c:v>
                </c:pt>
                <c:pt idx="5">
                  <c:v>Strategic Alignment</c:v>
                </c:pt>
                <c:pt idx="6">
                  <c:v>Technical Integration</c:v>
                </c:pt>
              </c:strCache>
            </c:strRef>
          </c:cat>
          <c:val>
            <c:numRef>
              <c:f>Pivot_table!$B$2:$B$9</c:f>
              <c:numCache>
                <c:formatCode>[$£-809]#,##0.00</c:formatCode>
                <c:ptCount val="7"/>
                <c:pt idx="0">
                  <c:v>12000000</c:v>
                </c:pt>
                <c:pt idx="1">
                  <c:v>154600000</c:v>
                </c:pt>
                <c:pt idx="2">
                  <c:v>600000</c:v>
                </c:pt>
                <c:pt idx="3">
                  <c:v>18000000</c:v>
                </c:pt>
                <c:pt idx="4">
                  <c:v>0</c:v>
                </c:pt>
                <c:pt idx="5">
                  <c:v>27000000</c:v>
                </c:pt>
                <c:pt idx="6">
                  <c:v>0</c:v>
                </c:pt>
              </c:numCache>
            </c:numRef>
          </c:val>
          <c:extLst>
            <c:ext xmlns:c16="http://schemas.microsoft.com/office/drawing/2014/chart" uri="{C3380CC4-5D6E-409C-BE32-E72D297353CC}">
              <c16:uniqueId val="{00000000-4325-4E92-89DD-AE8ACBD79861}"/>
            </c:ext>
          </c:extLst>
        </c:ser>
        <c:ser>
          <c:idx val="1"/>
          <c:order val="1"/>
          <c:tx>
            <c:strRef>
              <c:f>Pivot_table!$C$1</c:f>
              <c:strCache>
                <c:ptCount val="1"/>
                <c:pt idx="0">
                  <c:v>Sum of Residual 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Pivot_table!$A$2:$A$9</c:f>
              <c:strCache>
                <c:ptCount val="7"/>
                <c:pt idx="0">
                  <c:v>Delivery Performance</c:v>
                </c:pt>
                <c:pt idx="1">
                  <c:v>Financial Viability</c:v>
                </c:pt>
                <c:pt idx="2">
                  <c:v>Regulatory &amp; Compliance</c:v>
                </c:pt>
                <c:pt idx="3">
                  <c:v>Resource Resilience</c:v>
                </c:pt>
                <c:pt idx="4">
                  <c:v>Stakeholder Confidence</c:v>
                </c:pt>
                <c:pt idx="5">
                  <c:v>Strategic Alignment</c:v>
                </c:pt>
                <c:pt idx="6">
                  <c:v>Technical Integration</c:v>
                </c:pt>
              </c:strCache>
            </c:strRef>
          </c:cat>
          <c:val>
            <c:numRef>
              <c:f>Pivot_table!$C$2:$C$9</c:f>
              <c:numCache>
                <c:formatCode>[$£-809]#,##0.00</c:formatCode>
                <c:ptCount val="7"/>
                <c:pt idx="0">
                  <c:v>18400000</c:v>
                </c:pt>
                <c:pt idx="1">
                  <c:v>111100000</c:v>
                </c:pt>
                <c:pt idx="2">
                  <c:v>9400000</c:v>
                </c:pt>
                <c:pt idx="3">
                  <c:v>6800000</c:v>
                </c:pt>
                <c:pt idx="4">
                  <c:v>0</c:v>
                </c:pt>
                <c:pt idx="5">
                  <c:v>26400001.800000001</c:v>
                </c:pt>
                <c:pt idx="6">
                  <c:v>0</c:v>
                </c:pt>
              </c:numCache>
            </c:numRef>
          </c:val>
          <c:extLst>
            <c:ext xmlns:c16="http://schemas.microsoft.com/office/drawing/2014/chart" uri="{C3380CC4-5D6E-409C-BE32-E72D297353CC}">
              <c16:uniqueId val="{00000001-4325-4E92-89DD-AE8ACBD79861}"/>
            </c:ext>
          </c:extLst>
        </c:ser>
        <c:dLbls>
          <c:dLblPos val="outEnd"/>
          <c:showLegendKey val="0"/>
          <c:showVal val="1"/>
          <c:showCatName val="0"/>
          <c:showSerName val="0"/>
          <c:showPercent val="0"/>
          <c:showBubbleSize val="0"/>
        </c:dLbls>
        <c:gapWidth val="150"/>
        <c:axId val="1698252367"/>
        <c:axId val="1698245647"/>
      </c:barChart>
      <c:catAx>
        <c:axId val="1698252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8245647"/>
        <c:crosses val="autoZero"/>
        <c:auto val="1"/>
        <c:lblAlgn val="ctr"/>
        <c:lblOffset val="100"/>
        <c:noMultiLvlLbl val="0"/>
      </c:catAx>
      <c:valAx>
        <c:axId val="1698245647"/>
        <c:scaling>
          <c:orientation val="minMax"/>
        </c:scaling>
        <c:delete val="1"/>
        <c:axPos val="b"/>
        <c:numFmt formatCode="[$£-809]#,##0.00" sourceLinked="1"/>
        <c:majorTickMark val="none"/>
        <c:minorTickMark val="none"/>
        <c:tickLblPos val="nextTo"/>
        <c:crossAx val="1698252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10</xdr:col>
      <xdr:colOff>150393</xdr:colOff>
      <xdr:row>6</xdr:row>
      <xdr:rowOff>171980</xdr:rowOff>
    </xdr:from>
    <xdr:to>
      <xdr:col>11</xdr:col>
      <xdr:colOff>6803569</xdr:colOff>
      <xdr:row>11</xdr:row>
      <xdr:rowOff>1905001</xdr:rowOff>
    </xdr:to>
    <xdr:graphicFrame macro="">
      <xdr:nvGraphicFramePr>
        <xdr:cNvPr id="2" name="Chart 1">
          <a:extLst>
            <a:ext uri="{FF2B5EF4-FFF2-40B4-BE49-F238E27FC236}">
              <a16:creationId xmlns:a16="http://schemas.microsoft.com/office/drawing/2014/main" id="{28B0EDF5-00B7-485D-9FDB-DE2D5C3F40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76200</xdr:colOff>
      <xdr:row>8</xdr:row>
      <xdr:rowOff>190498</xdr:rowOff>
    </xdr:from>
    <xdr:to>
      <xdr:col>15</xdr:col>
      <xdr:colOff>5638798</xdr:colOff>
      <xdr:row>11</xdr:row>
      <xdr:rowOff>1924050</xdr:rowOff>
    </xdr:to>
    <xdr:graphicFrame macro="">
      <xdr:nvGraphicFramePr>
        <xdr:cNvPr id="3" name="Chart 2">
          <a:extLst>
            <a:ext uri="{FF2B5EF4-FFF2-40B4-BE49-F238E27FC236}">
              <a16:creationId xmlns:a16="http://schemas.microsoft.com/office/drawing/2014/main" id="{447FFB2F-5196-4284-9486-A2B58688A0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101023</xdr:colOff>
      <xdr:row>29</xdr:row>
      <xdr:rowOff>132290</xdr:rowOff>
    </xdr:from>
    <xdr:to>
      <xdr:col>6</xdr:col>
      <xdr:colOff>7070481</xdr:colOff>
      <xdr:row>33</xdr:row>
      <xdr:rowOff>2190745</xdr:rowOff>
    </xdr:to>
    <xdr:graphicFrame macro="">
      <xdr:nvGraphicFramePr>
        <xdr:cNvPr id="4" name="Chart 3">
          <a:extLst>
            <a:ext uri="{FF2B5EF4-FFF2-40B4-BE49-F238E27FC236}">
              <a16:creationId xmlns:a16="http://schemas.microsoft.com/office/drawing/2014/main" id="{92E5A4BE-4C31-4D03-B501-46C7F7B0F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119062</xdr:colOff>
      <xdr:row>46</xdr:row>
      <xdr:rowOff>61451</xdr:rowOff>
    </xdr:from>
    <xdr:to>
      <xdr:col>6</xdr:col>
      <xdr:colOff>7024682</xdr:colOff>
      <xdr:row>52</xdr:row>
      <xdr:rowOff>1056033</xdr:rowOff>
    </xdr:to>
    <xdr:graphicFrame macro="">
      <xdr:nvGraphicFramePr>
        <xdr:cNvPr id="6" name="Chart 5">
          <a:extLst>
            <a:ext uri="{FF2B5EF4-FFF2-40B4-BE49-F238E27FC236}">
              <a16:creationId xmlns:a16="http://schemas.microsoft.com/office/drawing/2014/main" id="{B866A9AC-686F-41A0-92B0-D415CF1CB2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110754</xdr:colOff>
      <xdr:row>59</xdr:row>
      <xdr:rowOff>61451</xdr:rowOff>
    </xdr:from>
    <xdr:to>
      <xdr:col>6</xdr:col>
      <xdr:colOff>7350814</xdr:colOff>
      <xdr:row>68</xdr:row>
      <xdr:rowOff>0</xdr:rowOff>
    </xdr:to>
    <xdr:graphicFrame macro="">
      <xdr:nvGraphicFramePr>
        <xdr:cNvPr id="8" name="Chart 7">
          <a:extLst>
            <a:ext uri="{FF2B5EF4-FFF2-40B4-BE49-F238E27FC236}">
              <a16:creationId xmlns:a16="http://schemas.microsoft.com/office/drawing/2014/main" id="{746E3A82-DBB0-435F-8C74-372AD2C8B4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15361</xdr:colOff>
      <xdr:row>6</xdr:row>
      <xdr:rowOff>61451</xdr:rowOff>
    </xdr:from>
    <xdr:to>
      <xdr:col>6</xdr:col>
      <xdr:colOff>7143748</xdr:colOff>
      <xdr:row>11</xdr:row>
      <xdr:rowOff>1927675</xdr:rowOff>
    </xdr:to>
    <xdr:graphicFrame macro="">
      <xdr:nvGraphicFramePr>
        <xdr:cNvPr id="9" name="Chart 8">
          <a:extLst>
            <a:ext uri="{FF2B5EF4-FFF2-40B4-BE49-F238E27FC236}">
              <a16:creationId xmlns:a16="http://schemas.microsoft.com/office/drawing/2014/main" id="{9B794731-EEBA-49C7-8704-8E32FBFDA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146732</xdr:colOff>
      <xdr:row>17</xdr:row>
      <xdr:rowOff>51485</xdr:rowOff>
    </xdr:from>
    <xdr:to>
      <xdr:col>6</xdr:col>
      <xdr:colOff>7166425</xdr:colOff>
      <xdr:row>22</xdr:row>
      <xdr:rowOff>1613957</xdr:rowOff>
    </xdr:to>
    <xdr:graphicFrame macro="">
      <xdr:nvGraphicFramePr>
        <xdr:cNvPr id="12" name="Chart 11">
          <a:extLst>
            <a:ext uri="{FF2B5EF4-FFF2-40B4-BE49-F238E27FC236}">
              <a16:creationId xmlns:a16="http://schemas.microsoft.com/office/drawing/2014/main" id="{5D832574-1196-43D8-B6B3-A305F5E316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100660</xdr:colOff>
      <xdr:row>17</xdr:row>
      <xdr:rowOff>78791</xdr:rowOff>
    </xdr:from>
    <xdr:to>
      <xdr:col>11</xdr:col>
      <xdr:colOff>6803571</xdr:colOff>
      <xdr:row>22</xdr:row>
      <xdr:rowOff>1564818</xdr:rowOff>
    </xdr:to>
    <xdr:graphicFrame macro="">
      <xdr:nvGraphicFramePr>
        <xdr:cNvPr id="14" name="Chart 13">
          <a:extLst>
            <a:ext uri="{FF2B5EF4-FFF2-40B4-BE49-F238E27FC236}">
              <a16:creationId xmlns:a16="http://schemas.microsoft.com/office/drawing/2014/main" id="{927D499C-A406-3266-633A-0AEC9D8ED8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27</xdr:row>
      <xdr:rowOff>0</xdr:rowOff>
    </xdr:from>
    <xdr:to>
      <xdr:col>21</xdr:col>
      <xdr:colOff>-1</xdr:colOff>
      <xdr:row>39</xdr:row>
      <xdr:rowOff>0</xdr:rowOff>
    </xdr:to>
    <xdr:graphicFrame macro="">
      <xdr:nvGraphicFramePr>
        <xdr:cNvPr id="11" name="Chart 10">
          <a:extLst>
            <a:ext uri="{FF2B5EF4-FFF2-40B4-BE49-F238E27FC236}">
              <a16:creationId xmlns:a16="http://schemas.microsoft.com/office/drawing/2014/main" id="{4329ED4F-32D8-4B24-9E6E-C249361EE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76196</xdr:colOff>
      <xdr:row>6</xdr:row>
      <xdr:rowOff>95248</xdr:rowOff>
    </xdr:from>
    <xdr:to>
      <xdr:col>20</xdr:col>
      <xdr:colOff>5867400</xdr:colOff>
      <xdr:row>11</xdr:row>
      <xdr:rowOff>1914522</xdr:rowOff>
    </xdr:to>
    <xdr:graphicFrame macro="">
      <xdr:nvGraphicFramePr>
        <xdr:cNvPr id="5" name="Chart 4">
          <a:extLst>
            <a:ext uri="{FF2B5EF4-FFF2-40B4-BE49-F238E27FC236}">
              <a16:creationId xmlns:a16="http://schemas.microsoft.com/office/drawing/2014/main" id="{F11B25CB-3D37-EE13-E7C9-699468FB73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76196</xdr:colOff>
      <xdr:row>17</xdr:row>
      <xdr:rowOff>95248</xdr:rowOff>
    </xdr:from>
    <xdr:to>
      <xdr:col>20</xdr:col>
      <xdr:colOff>5767914</xdr:colOff>
      <xdr:row>23</xdr:row>
      <xdr:rowOff>7938</xdr:rowOff>
    </xdr:to>
    <xdr:graphicFrame macro="">
      <xdr:nvGraphicFramePr>
        <xdr:cNvPr id="7" name="Chart 6">
          <a:extLst>
            <a:ext uri="{FF2B5EF4-FFF2-40B4-BE49-F238E27FC236}">
              <a16:creationId xmlns:a16="http://schemas.microsoft.com/office/drawing/2014/main" id="{03DB3579-B735-474F-BE6C-9D334F8807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42</xdr:row>
      <xdr:rowOff>0</xdr:rowOff>
    </xdr:from>
    <xdr:to>
      <xdr:col>21</xdr:col>
      <xdr:colOff>0</xdr:colOff>
      <xdr:row>68</xdr:row>
      <xdr:rowOff>0</xdr:rowOff>
    </xdr:to>
    <xdr:graphicFrame macro="">
      <xdr:nvGraphicFramePr>
        <xdr:cNvPr id="16" name="Chart 15">
          <a:extLst>
            <a:ext uri="{FF2B5EF4-FFF2-40B4-BE49-F238E27FC236}">
              <a16:creationId xmlns:a16="http://schemas.microsoft.com/office/drawing/2014/main" id="{33CF4EA4-36A0-1F34-0156-C8034B3963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142875</xdr:colOff>
      <xdr:row>14</xdr:row>
      <xdr:rowOff>158749</xdr:rowOff>
    </xdr:from>
    <xdr:to>
      <xdr:col>20</xdr:col>
      <xdr:colOff>87228</xdr:colOff>
      <xdr:row>17</xdr:row>
      <xdr:rowOff>214316</xdr:rowOff>
    </xdr:to>
    <xdr:pic>
      <xdr:nvPicPr>
        <xdr:cNvPr id="2" name="Rectangle">
          <a:extLst>
            <a:ext uri="{FF2B5EF4-FFF2-40B4-BE49-F238E27FC236}">
              <a16:creationId xmlns:a16="http://schemas.microsoft.com/office/drawing/2014/main" id="{27CDC112-4885-4710-ADE0-E95D852364C5}"/>
            </a:ext>
          </a:extLst>
        </xdr:cNvPr>
        <xdr:cNvPicPr>
          <a:picLocks noChangeAspect="1"/>
        </xdr:cNvPicPr>
      </xdr:nvPicPr>
      <xdr:blipFill>
        <a:blip xmlns:r="http://schemas.openxmlformats.org/officeDocument/2006/relationships" r:embed="rId1"/>
        <a:stretch>
          <a:fillRect/>
        </a:stretch>
      </xdr:blipFill>
      <xdr:spPr>
        <a:xfrm>
          <a:off x="10125075" y="2735262"/>
          <a:ext cx="4644940" cy="243335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9</xdr:row>
      <xdr:rowOff>157158</xdr:rowOff>
    </xdr:from>
    <xdr:to>
      <xdr:col>3</xdr:col>
      <xdr:colOff>276225</xdr:colOff>
      <xdr:row>38</xdr:row>
      <xdr:rowOff>23812</xdr:rowOff>
    </xdr:to>
    <xdr:graphicFrame macro="">
      <xdr:nvGraphicFramePr>
        <xdr:cNvPr id="2" name="Chart 1">
          <a:extLst>
            <a:ext uri="{FF2B5EF4-FFF2-40B4-BE49-F238E27FC236}">
              <a16:creationId xmlns:a16="http://schemas.microsoft.com/office/drawing/2014/main" id="{9EAC6606-3638-7B37-B7A6-6AD24A9D61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Users/anthony.baffi@southwark.gov.uk/Downloads/Risk_Register_version_2.xlsm" TargetMode="External"/><Relationship Id="rId2" Type="http://schemas.openxmlformats.org/officeDocument/2006/relationships/externalLinkPath" Target="file:///C:\Users\ab\Desktop\Fiverr_Anthony_Risk_Register\in%20work\Risk_Register_version_2.xlsm" TargetMode="External"/><Relationship Id="rId1" Type="http://schemas.openxmlformats.org/officeDocument/2006/relationships/externalLinkPath" Target="/Users/anthony.baffi@southwark.gov.uk/Downloads/Risk_Register_version_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ab\Downloads\Programme%20Risk_Register_V5%20(1).xlsm" TargetMode="External"/><Relationship Id="rId1" Type="http://schemas.openxmlformats.org/officeDocument/2006/relationships/externalLinkPath" Target="Programme%20Risk_Register_V5%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KRI_KPI Overview"/>
      <sheetName val="Risk Register"/>
      <sheetName val="Risk Framework"/>
      <sheetName val="Controls Filter"/>
      <sheetName val="Monitoring Framework"/>
      <sheetName val="Montoring 2"/>
      <sheetName val="KRI Monthly Changes"/>
      <sheetName val="KPI Monthly Changes"/>
      <sheetName val="KRIs VS KPIs"/>
      <sheetName val="Dashboard"/>
      <sheetName val="KRI Table"/>
      <sheetName val="Monitoring KRIs Vs KPIs"/>
      <sheetName val="Executive Risk Dashboard"/>
      <sheetName val="KPIs Table"/>
      <sheetName val="Issues"/>
      <sheetName val="Assumptions"/>
      <sheetName val="Dependencies"/>
      <sheetName val="Pivot Tables"/>
      <sheetName val="RAD data"/>
      <sheetName val="Heat Map Report"/>
      <sheetName val="Risk matrix1"/>
      <sheetName val="Opportunities"/>
      <sheetName val="Issue data"/>
      <sheetName val="Configuration"/>
      <sheetName val="Tickmarks"/>
      <sheetName val="Risk_Register_version_2"/>
    </sheetNames>
    <sheetDataSet>
      <sheetData sheetId="0"/>
      <sheetData sheetId="1">
        <row r="8">
          <cell r="B8" t="str">
            <v>PR_0001</v>
          </cell>
        </row>
        <row r="9">
          <cell r="B9" t="str">
            <v>PR_0002</v>
          </cell>
        </row>
        <row r="10">
          <cell r="B10" t="str">
            <v>Closed - PR_0003</v>
          </cell>
        </row>
        <row r="11">
          <cell r="B11" t="str">
            <v>Closed - PR_0004</v>
          </cell>
        </row>
        <row r="12">
          <cell r="B12" t="str">
            <v>PR_0005</v>
          </cell>
        </row>
        <row r="13">
          <cell r="B13" t="str">
            <v>PR_0006</v>
          </cell>
        </row>
        <row r="14">
          <cell r="B14" t="str">
            <v>Closed - PR_0007</v>
          </cell>
        </row>
        <row r="15">
          <cell r="B15" t="str">
            <v>PR_0008</v>
          </cell>
        </row>
        <row r="16">
          <cell r="B16" t="str">
            <v>Closed - PR_0009</v>
          </cell>
        </row>
        <row r="17">
          <cell r="B17" t="str">
            <v>PR_0010</v>
          </cell>
        </row>
        <row r="18">
          <cell r="B18" t="str">
            <v>PR_0011</v>
          </cell>
        </row>
        <row r="19">
          <cell r="B19" t="str">
            <v>Closed - PR_0012</v>
          </cell>
        </row>
        <row r="20">
          <cell r="B20" t="str">
            <v>PR_0013</v>
          </cell>
        </row>
        <row r="21">
          <cell r="B21" t="str">
            <v>Closed - PR_0014</v>
          </cell>
        </row>
        <row r="22">
          <cell r="B22" t="str">
            <v>PR_0015</v>
          </cell>
        </row>
        <row r="23">
          <cell r="B23" t="str">
            <v>Closed - PR_0016</v>
          </cell>
        </row>
        <row r="24">
          <cell r="B24" t="str">
            <v>PR_0017</v>
          </cell>
        </row>
        <row r="25">
          <cell r="B25" t="str">
            <v>Closed - PR_0018</v>
          </cell>
        </row>
        <row r="26">
          <cell r="B26" t="str">
            <v>PR_0019</v>
          </cell>
        </row>
        <row r="27">
          <cell r="B27" t="str">
            <v>PR_0020</v>
          </cell>
        </row>
        <row r="28">
          <cell r="B28" t="str">
            <v>Closed - PR_0021</v>
          </cell>
        </row>
        <row r="29">
          <cell r="B29" t="str">
            <v>Closed - PR_0022</v>
          </cell>
        </row>
        <row r="30">
          <cell r="B30" t="str">
            <v>PR_0023</v>
          </cell>
        </row>
        <row r="31">
          <cell r="B31" t="str">
            <v>PR_0024</v>
          </cell>
        </row>
        <row r="32">
          <cell r="B32" t="str">
            <v>Closed - PR_0025</v>
          </cell>
        </row>
        <row r="33">
          <cell r="B33" t="str">
            <v>Closed - PR_0026</v>
          </cell>
        </row>
        <row r="34">
          <cell r="B34" t="str">
            <v>PR_0027</v>
          </cell>
        </row>
        <row r="35">
          <cell r="B35" t="str">
            <v>PR_0028</v>
          </cell>
        </row>
        <row r="36">
          <cell r="B36" t="str">
            <v>PR_0029</v>
          </cell>
        </row>
        <row r="37">
          <cell r="B37" t="str">
            <v>PR_0030</v>
          </cell>
        </row>
        <row r="38">
          <cell r="B38" t="str">
            <v>Closed - PR_0031</v>
          </cell>
        </row>
        <row r="39">
          <cell r="B39" t="str">
            <v>Closed - PR_0032</v>
          </cell>
        </row>
        <row r="40">
          <cell r="B40" t="str">
            <v>PR_0033</v>
          </cell>
        </row>
      </sheetData>
      <sheetData sheetId="2"/>
      <sheetData sheetId="3"/>
      <sheetData sheetId="4"/>
      <sheetData sheetId="5"/>
      <sheetData sheetId="6"/>
      <sheetData sheetId="7"/>
      <sheetData sheetId="8"/>
      <sheetData sheetId="9">
        <row r="6">
          <cell r="N6" t="str">
            <v>MISALIGNED</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isks"/>
      <sheetName val="Issues"/>
      <sheetName val="Risk Framework"/>
      <sheetName val="Controls Filter"/>
      <sheetName val="Monitoring Framework"/>
      <sheetName val="Montoring 2"/>
      <sheetName val="KRI Monthly Changes"/>
      <sheetName val="KPI Monthly Changes"/>
      <sheetName val="KRI Table"/>
      <sheetName val="Monitoring KRIs Vs KPIs"/>
      <sheetName val="Executive Risk Dashboard"/>
      <sheetName val="KPIs Table"/>
      <sheetName val="Assumptions"/>
      <sheetName val="Dependencies"/>
      <sheetName val="Dashboard"/>
      <sheetName val="KRIs VS KPIs"/>
      <sheetName val="KRI_KPI Overview"/>
      <sheetName val="Guide"/>
      <sheetName val="Pivot_table"/>
      <sheetName val="Heat Map Report"/>
      <sheetName val="Risk matrix1"/>
      <sheetName val="RAD data"/>
      <sheetName val="Issue data"/>
      <sheetName val="Opportunities"/>
      <sheetName val="Tickmarks"/>
      <sheetName val="Programme Risk_Register_V5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Withers, Siobhán" id="{2958DD44-267E-4FF0-A506-F4280539F685}" userId="S::Siobhan.Withers@SOUTHWARK.GOV.UK::c9f9180a-9e8d-47f3-a167-0085b965326f"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thony Baafi" refreshedDate="46084.834022685187" createdVersion="8" refreshedVersion="8" minRefreshableVersion="3" recordCount="103" xr:uid="{401213FE-AEFB-48AF-AED0-AB97F994DD12}">
  <cacheSource type="worksheet">
    <worksheetSource name="RISK_table"/>
  </cacheSource>
  <cacheFields count="35">
    <cacheField name="#" numFmtId="0">
      <sharedItems containsNonDate="0" containsString="0" containsBlank="1"/>
    </cacheField>
    <cacheField name="Risk ref" numFmtId="0">
      <sharedItems/>
    </cacheField>
    <cacheField name="Programme" numFmtId="0">
      <sharedItems containsBlank="1"/>
    </cacheField>
    <cacheField name="Workstream" numFmtId="0">
      <sharedItems containsBlank="1" count="24">
        <s v="Regulatory &amp; Compliance"/>
        <s v="Resource Resilience"/>
        <s v="Delivery Performance"/>
        <s v="Financial Viability"/>
        <s v="Supply Chain &amp; Safety"/>
        <s v="Stakeholder Confidence"/>
        <s v="Technical Integration"/>
        <s v="Strategic Alignment"/>
        <s v="Community Performance"/>
        <m/>
        <s v="The workstream with which the risk is associated " u="1"/>
        <s v="Environment &amp; Sustainability" u="1"/>
        <s v="Commercial Performance" u="1"/>
        <s v="Environmental &amp; Sustainability" u="1"/>
        <s v="Supply Chain Stability" u="1"/>
        <s v="Programme" u="1"/>
        <s v="Resourcing" u="1"/>
        <s v="Sales &amp; Marketing" u="1"/>
        <s v="Financial" u="1"/>
        <s v="Political / Reputational" u="1"/>
        <s v="Reputational" u="1"/>
        <s v="Political" u="1"/>
        <s v="Health &amp; Safety" u="1"/>
        <s v="Future Programme" u="1"/>
      </sharedItems>
    </cacheField>
    <cacheField name="Linked KRI" numFmtId="0">
      <sharedItems containsBlank="1"/>
    </cacheField>
    <cacheField name="Date Added to Risk Register" numFmtId="0">
      <sharedItems containsNonDate="0" containsDate="1" containsString="0" containsBlank="1" minDate="2022-11-01T00:00:00" maxDate="2026-01-02T00:00:00"/>
    </cacheField>
    <cacheField name="Risk Description and Impact" numFmtId="0">
      <sharedItems containsBlank="1" longText="1"/>
    </cacheField>
    <cacheField name="Risk Owner" numFmtId="0">
      <sharedItems containsBlank="1"/>
    </cacheField>
    <cacheField name="Category" numFmtId="0">
      <sharedItems containsBlank="1"/>
    </cacheField>
    <cacheField name="Impact_x000a_1 to 5" numFmtId="0">
      <sharedItems containsBlank="1" containsMixedTypes="1" containsNumber="1" containsInteger="1" minValue="2" maxValue="5"/>
    </cacheField>
    <cacheField name="Likelihood_x000a_1 to 5" numFmtId="49">
      <sharedItems containsBlank="1" containsMixedTypes="1" containsNumber="1" containsInteger="1" minValue="2" maxValue="5"/>
    </cacheField>
    <cacheField name="RISK SCORE" numFmtId="0">
      <sharedItems/>
    </cacheField>
    <cacheField name="Risk response" numFmtId="0">
      <sharedItems containsBlank="1"/>
    </cacheField>
    <cacheField name="Risk controls (mitigation)" numFmtId="0">
      <sharedItems containsBlank="1" longText="1"/>
    </cacheField>
    <cacheField name="Control Owner_x000a_(by exception)" numFmtId="0">
      <sharedItems containsBlank="1"/>
    </cacheField>
    <cacheField name="Impact_x000a_1 to 52" numFmtId="0">
      <sharedItems containsString="0" containsBlank="1" containsNumber="1" containsInteger="1" minValue="2" maxValue="5"/>
    </cacheField>
    <cacheField name="Likelihood_x000a_1 to 53" numFmtId="0">
      <sharedItems containsString="0" containsBlank="1" containsNumber="1" containsInteger="1" minValue="1" maxValue="4"/>
    </cacheField>
    <cacheField name="New RISK SCORE" numFmtId="0">
      <sharedItems/>
    </cacheField>
    <cacheField name="Risk Appetite" numFmtId="0">
      <sharedItems containsBlank="1"/>
    </cacheField>
    <cacheField name="Risk review plan" numFmtId="0">
      <sharedItems containsBlank="1"/>
    </cacheField>
    <cacheField name="Current Status" numFmtId="0">
      <sharedItems containsBlank="1"/>
    </cacheField>
    <cacheField name="Last Review Date" numFmtId="0">
      <sharedItems containsNonDate="0" containsString="0" containsBlank="1"/>
    </cacheField>
    <cacheField name="Next Review Date" numFmtId="0">
      <sharedItems containsNonDate="0" containsString="0" containsBlank="1"/>
    </cacheField>
    <cacheField name="Progress Update" numFmtId="0">
      <sharedItems containsBlank="1"/>
    </cacheField>
    <cacheField name="Closure Date" numFmtId="0">
      <sharedItems containsNonDate="0" containsDate="1" containsString="0" containsBlank="1" minDate="2023-08-17T00:00:00" maxDate="2025-08-28T00:00:00"/>
    </cacheField>
    <cacheField name="Closure Authority" numFmtId="0">
      <sharedItems containsBlank="1"/>
    </cacheField>
    <cacheField name="Additional Controls" numFmtId="0">
      <sharedItems containsBlank="1"/>
    </cacheField>
    <cacheField name="Gross Impact (£)" numFmtId="0">
      <sharedItems containsString="0" containsBlank="1" containsNumber="1" containsInteger="1" minValue="0" maxValue="150000000"/>
    </cacheField>
    <cacheField name="Gross Likelihood (probability / frequency)" numFmtId="0">
      <sharedItems containsBlank="1" containsMixedTypes="1" containsNumber="1" minValue="0.4" maxValue="1"/>
    </cacheField>
    <cacheField name="Gross ALE" numFmtId="6">
      <sharedItems containsMixedTypes="1" containsNumber="1" containsInteger="1" minValue="0" maxValue="90000000"/>
    </cacheField>
    <cacheField name="Residual Impact (£)" numFmtId="0">
      <sharedItems containsString="0" containsBlank="1" containsNumber="1" containsInteger="1" minValue="0" maxValue="150000000"/>
    </cacheField>
    <cacheField name="Residual Likelihood (probability / frequency)" numFmtId="0">
      <sharedItems containsBlank="1" containsMixedTypes="1" containsNumber="1" minValue="0.2" maxValue="0.8"/>
    </cacheField>
    <cacheField name="Residual ALE" numFmtId="6">
      <sharedItems containsMixedTypes="1" containsNumber="1" minValue="0" maxValue="60000000"/>
    </cacheField>
    <cacheField name="Risk Reduction" numFmtId="6">
      <sharedItems containsMixedTypes="1" containsNumber="1" containsInteger="1" minValue="0" maxValue="30000000"/>
    </cacheField>
    <cacheField name="Risk Reduction (%)" numFmtId="9">
      <sharedItems containsMixedTypes="1" containsNumber="1" minValue="0.2" maxValue="0.9333333333333333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
  <r>
    <m/>
    <s v="Closed - PR_0001"/>
    <s v="Overall Programme"/>
    <x v="0"/>
    <s v="Building Control &amp; Safety Compliance"/>
    <m/>
    <s v="If we do not comply with PCR 2015 procurement practices at all levels of procurement, there is a risk that we expose the council to regulatory sanctions, legal challenge and financial penalties"/>
    <s v="Stuart Davis"/>
    <s v="Internal - Resource"/>
    <m/>
    <m/>
    <s v=""/>
    <s v="Avoid"/>
    <s v=" - Oversight and guidance on procurement activity within Southwark Construction_x000a_ - Put in place procurement training across Southwark Construction_x000a_ - Set up the PMO as the first point of contact for procurement to establish a consistent approach to procurement"/>
    <s v="SPM PMO"/>
    <m/>
    <m/>
    <s v="Severe"/>
    <m/>
    <s v="Accept"/>
    <s v="Closed"/>
    <m/>
    <m/>
    <m/>
    <d v="2025-08-27T00:00:00"/>
    <s v="PMO (SW/AB)"/>
    <s v=""/>
    <m/>
    <s v=""/>
    <s v=""/>
    <m/>
    <s v=""/>
    <s v=""/>
    <s v=""/>
    <s v=""/>
  </r>
  <r>
    <m/>
    <s v="PR_0002"/>
    <s v="Overall Programme"/>
    <x v="1"/>
    <s v="Resource &amp; Capability Adequacy"/>
    <d v="2022-11-01T00:00:00"/>
    <s v="If staff do not have access to, understand and use the lone working guidance and toolkit, there is a risk to welfare and personal safety, which could lead to increased staff sickness or personal injury, resulting in resourcing issues, legal action and financial penalties"/>
    <s v="Strategic Director"/>
    <s v="Internal - Organisaton"/>
    <n v="5"/>
    <n v="4"/>
    <s v="Severe"/>
    <s v="Avoid"/>
    <s v=" - Additional measures implemented to restrict lone working where there are high levels of anti-social behaviour and serious criminal activity (currently on the Aylesbury Estate)_x000a_ - Lone working guidance and risk assessment to be refreshed annually and re-issued to teams and discussed in team meetings._x000a_ -  Staff within Southwark Construction have been fully informed of the risks and controls necessary to keep safe while working alone_x000a_- Lone working devices are available to the team_x000a_"/>
    <s v="Zoe Davies"/>
    <n v="5"/>
    <n v="2"/>
    <s v=""/>
    <s v="Severe"/>
    <s v="Accept"/>
    <s v="Managed"/>
    <m/>
    <m/>
    <m/>
    <m/>
    <m/>
    <s v=""/>
    <n v="15000000"/>
    <n v="0.8"/>
    <n v="12000000"/>
    <n v="15000000"/>
    <n v="0.4"/>
    <n v="6000000"/>
    <n v="6000000"/>
    <n v="0.5"/>
  </r>
  <r>
    <m/>
    <s v="Closed - PR_0003"/>
    <m/>
    <x v="1"/>
    <s v="Resource &amp; Capability Adequacy"/>
    <m/>
    <s v="If the change of personnel in the role of Section 151 Officer leads to a change in strategic approach in the management of the council's finance and governance there is a risk that other financial commitments will be prioritised resulting in resourcing issues for the programme"/>
    <s v="Strategic Director"/>
    <s v="Internal - Organisaton"/>
    <m/>
    <m/>
    <s v=""/>
    <m/>
    <s v=" - Review delivery programme and adjust for affordability and the need for a greater degree of self financing_x000a_ - Explore different sources of funding_x000a_ - Engage with incoming Section 151 Officer along with other stakeholders including politicians to confirm commitment to a programme of delivery"/>
    <s v="Stuart Davis"/>
    <m/>
    <m/>
    <s v=""/>
    <m/>
    <m/>
    <s v="Closed"/>
    <m/>
    <m/>
    <m/>
    <d v="2023-10-02T00:00:00"/>
    <s v="ZD"/>
    <s v=""/>
    <n v="10000000"/>
    <s v=""/>
    <s v=""/>
    <m/>
    <s v=""/>
    <s v=""/>
    <s v=""/>
    <s v=""/>
  </r>
  <r>
    <m/>
    <s v="Closed - PR_0004"/>
    <s v="Overall Programme"/>
    <x v="1"/>
    <s v="Resource &amp; Capability Adequacy"/>
    <m/>
    <s v="If the overall staff capacity in the Southwark Construction team does not meet the demands on programme, then the pace or quality of delivery may suffer"/>
    <s v="Stuart Davis"/>
    <s v="Internal - Resource"/>
    <m/>
    <m/>
    <s v=""/>
    <m/>
    <s v=" - Carry out recruitment campaign to fill vacant established posts_x000a_- Regularly review resourcing across the team through the monthly Resource meetings with Strategic Leads_x000a_- Review the resourcing requirements of the 2026+ programme as this develops"/>
    <s v="Stuart Davis"/>
    <m/>
    <m/>
    <s v="Minor"/>
    <m/>
    <m/>
    <s v="Closed"/>
    <m/>
    <m/>
    <m/>
    <d v="2025-01-09T00:00:00"/>
    <s v="ZD"/>
    <s v=""/>
    <m/>
    <s v=""/>
    <s v=""/>
    <m/>
    <s v=""/>
    <s v=""/>
    <s v=""/>
    <s v=""/>
  </r>
  <r>
    <m/>
    <s v="PR_0005"/>
    <s v="Overall Programme"/>
    <x v="1"/>
    <s v="Resource &amp; Capability Adequacy"/>
    <d v="2022-11-01T00:00:00"/>
    <s v="If recruitment and retention issues arise there is a risk that there will be gaps in capabilities, resulting in additional pressures on staff who remain and there not enough staff to deliver the programme"/>
    <s v="Stuart Davis"/>
    <s v="Internal - Rites"/>
    <n v="3"/>
    <n v="3"/>
    <s v="Major"/>
    <s v="Reduce"/>
    <s v=" - Robust staff onboarding to expand focus on organisational culture and how mutually beneficial it would be_x000a_ - Highlight staff development opportunities including mentorship, routes to training and guidance as a way to foster retention and support CPD_x000a_ - Support a positive work life balance_x000a_ - Develop a business continuity plan to include succession planning and a crisis management plan"/>
    <s v="Zoe Davies"/>
    <n v="2"/>
    <n v="2"/>
    <s v=""/>
    <s v="Minor"/>
    <s v="Accept"/>
    <s v="Mitigated"/>
    <m/>
    <m/>
    <m/>
    <m/>
    <m/>
    <s v=""/>
    <n v="5000000"/>
    <n v="0.6"/>
    <n v="3000000"/>
    <n v="1000000"/>
    <n v="0.4"/>
    <n v="400000"/>
    <n v="2600000"/>
    <n v="0.8666666666666667"/>
  </r>
  <r>
    <m/>
    <s v="Closed - PR_0006"/>
    <s v="Overall Programme"/>
    <x v="2"/>
    <s v="Programme Delivery Excellence"/>
    <m/>
    <s v="If the quality of scheme reporting data is poor, there is a risk that the information reported to internal and external stakeholders is incorrect, resulting in possible reputational risk and inability to effectively manage the councils cost flow, resource requirements and Corporate Plan objectives"/>
    <s v="Zoe Davies"/>
    <s v="Internal - Resource"/>
    <m/>
    <m/>
    <s v=""/>
    <m/>
    <s v=" - Staff to review data held when undertaking the project folder re-filing exercise and locate missing documentation as part of the process_x000a_- Data validation exercises to identify and resolve events of inconsistent data resulting from Pamwin implementation_x000a_ - Staff are fully trained and cognisant of the consequences of poor data integrity"/>
    <s v="Strategic Leads"/>
    <m/>
    <m/>
    <s v=""/>
    <m/>
    <m/>
    <s v="Closed"/>
    <m/>
    <m/>
    <m/>
    <d v="2025-08-27T00:00:00"/>
    <s v="PMO (SW/AB)"/>
    <s v=""/>
    <n v="0"/>
    <s v=""/>
    <s v=""/>
    <n v="0"/>
    <s v=""/>
    <s v=""/>
    <s v=""/>
    <s v=""/>
  </r>
  <r>
    <m/>
    <s v="Closed - PR_0007"/>
    <m/>
    <x v="3"/>
    <s v="Programme Financial Sustainability"/>
    <m/>
    <s v="If the council is subject to rent capping, there is a risk that the schemes could become unviable and will not recoup costs as quickly as planned. This may reduce future borrowing capacity to fund delivery of new homes"/>
    <s v="Stuart Davis"/>
    <s v="External - Political"/>
    <m/>
    <m/>
    <s v=""/>
    <m/>
    <s v=" - Work closely with Finance to understand implication at programme level and reflect in reporting to HIB_x000a_- All key financial decusions (GWs and KMs) to review pressures on Council resources_x000a_- Review of programme to align delivery of outcomes with affordability"/>
    <s v="Stuart Davis"/>
    <m/>
    <m/>
    <s v=""/>
    <m/>
    <m/>
    <s v="Closed"/>
    <m/>
    <m/>
    <m/>
    <d v="2023-10-16T00:00:00"/>
    <s v="Fortnightly Programme Review"/>
    <s v=""/>
    <m/>
    <s v=""/>
    <s v=""/>
    <m/>
    <s v=""/>
    <s v=""/>
    <s v=""/>
    <s v=""/>
  </r>
  <r>
    <m/>
    <s v="Closed - PR_0008"/>
    <s v="Overall Programme"/>
    <x v="3"/>
    <s v="Programme Financial Sustainability"/>
    <m/>
    <s v="If there is a delay in letting new properties there is a risk that there are extended void periods after handover, resulting in a loss of rental and Council Tax income, additional expenditure including security costs and legionella testing, potentially some deterioration of the properties and a risk of squatting or break-ins."/>
    <s v="Stuart Davis"/>
    <s v="Internal - Resource"/>
    <m/>
    <m/>
    <s v=""/>
    <m/>
    <s v=" - Provide clarity to stakeholders on handover dates and what it means to different teams. If a building has reached PC it should be  let straight away. _x000a_- Provide monthly updates to internal services responsible for the planning of allocations and lettings_x000a_- Review handover process incorporating changes to processes and lessons learnt_x000a_ - Manage the impact of the potential standstill period at Fire Safety related G2 by incorporating additional void costs in project appraisal_x000a_ - Negotiate with consultant / contractors where delays are either unforeseen or due to LB Southwark activity"/>
    <s v="Strategic Leads"/>
    <m/>
    <m/>
    <s v=""/>
    <m/>
    <m/>
    <s v="Closed"/>
    <m/>
    <m/>
    <m/>
    <d v="2025-08-27T00:00:00"/>
    <s v="PMO (SW/AB)"/>
    <s v=""/>
    <n v="0"/>
    <s v=""/>
    <s v=""/>
    <n v="0"/>
    <s v=""/>
    <s v=""/>
    <s v=""/>
    <s v=""/>
  </r>
  <r>
    <m/>
    <s v="Closed - PR_0009"/>
    <s v="Pre 2026 Programme"/>
    <x v="3"/>
    <s v="Programme Financial Sustainability"/>
    <m/>
    <s v="Increases in construction costs result in more claims from contractors. If the costs cannot be managed within the current scheme budget or programme envelope then this may mean schemes have to be paused or that other schemes cannot go ahead."/>
    <s v="Stuart Davis"/>
    <s v="Internal - Mission"/>
    <m/>
    <m/>
    <s v=""/>
    <m/>
    <s v="Teams to manage approved contingencies to minimise overruns in total scheme costs and refresh contract management procedures to ensure effective cost management at all project stages._x000a_Ensure PMs are sufficiently trained to enable them to question pricing and alternatives and contract queries. Ensure EAs are providing effective support to PMs in this."/>
    <s v="Strategic Leads"/>
    <m/>
    <m/>
    <s v="Moderate"/>
    <m/>
    <m/>
    <s v="Closed"/>
    <m/>
    <m/>
    <m/>
    <d v="2024-07-08T00:00:00"/>
    <s v="Stuart Davis"/>
    <s v=""/>
    <m/>
    <s v=""/>
    <s v=""/>
    <m/>
    <s v=""/>
    <s v=""/>
    <s v=""/>
    <s v=""/>
  </r>
  <r>
    <m/>
    <s v="PR_0010"/>
    <s v="Overall Programme"/>
    <x v="4"/>
    <s v="Supply Chain &amp; Safety Performance"/>
    <d v="2022-11-01T00:00:00"/>
    <s v="If Health and Safety procedures and protocols are not embedded in the programme governance then there is a risk that on-site safety is non-compliant."/>
    <s v="Stuart Davis"/>
    <s v="External - Legal"/>
    <n v="4"/>
    <n v="2"/>
    <s v="Major"/>
    <s v="Reduce"/>
    <s v=" - Construction site specific training, guidance and sharing best practice_x000a_ - All relevant staff equipped with PPE_x000a_ - Regular reviews of risk assessments and contractor compliance"/>
    <s v="Zoe Davies"/>
    <n v="4"/>
    <n v="1"/>
    <s v="Minor"/>
    <s v="Moderate"/>
    <s v="Accept"/>
    <s v="Mitigated"/>
    <m/>
    <m/>
    <m/>
    <m/>
    <m/>
    <s v=""/>
    <n v="10000000"/>
    <n v="0.4"/>
    <n v="4000000"/>
    <n v="10000000"/>
    <n v="0.2"/>
    <n v="2000000"/>
    <n v="2000000"/>
    <n v="0.5"/>
  </r>
  <r>
    <m/>
    <s v="PR_0011"/>
    <s v="Overall Programme"/>
    <x v="1"/>
    <s v="Resource &amp; Capability Adequacy"/>
    <d v="2022-11-01T00:00:00"/>
    <s v="If SC does not adopt best practice in relation to HR and personnel processes, procedures and practices within the workplace there could be a detrimental impact on staff including their mental health, which could have an impact on service delivery"/>
    <s v="Stuart Davis"/>
    <s v="Internal - Rites"/>
    <n v="3"/>
    <n v="3"/>
    <s v="Major"/>
    <s v="Reduce"/>
    <s v=" - Operating in line with LB Southwark's respect at work and other internal policies designed to minimise workplace stress_x000a_- Making timely referrals to occupational health when required_x000a_- Ensuring workloads are appropriately balanced to minimise the rsk of work related stress_x000a_- Team risk assessment to cover this in place and regularly reviewed"/>
    <s v="Zoe Davies"/>
    <n v="2"/>
    <n v="2"/>
    <s v=""/>
    <s v="Insignificant"/>
    <s v="Review"/>
    <s v="Managed"/>
    <m/>
    <m/>
    <m/>
    <m/>
    <m/>
    <s v=""/>
    <n v="5000000"/>
    <n v="0.6"/>
    <n v="3000000"/>
    <n v="1000000"/>
    <n v="0.4"/>
    <n v="400000"/>
    <n v="2600000"/>
    <n v="0.8666666666666667"/>
  </r>
  <r>
    <m/>
    <s v="Closed - PR_0012"/>
    <m/>
    <x v="4"/>
    <s v="Supply Chain &amp; Safety Performance"/>
    <m/>
    <s v="Out of hours and off site meetings may expose staff to members of the public or other organisations that are hostile to Southwark"/>
    <s v="Stuart Davis"/>
    <s v="External - Legal"/>
    <m/>
    <m/>
    <s v=""/>
    <m/>
    <s v=" - Refresh training and lone working guidance, tailored to Southwark Construction working practices. Provide assurance that all staff within Southwark Construction are fully informed of the risks and controls necessary to keep safe while working alone"/>
    <s v="Multiple"/>
    <m/>
    <m/>
    <s v="Moderate"/>
    <m/>
    <m/>
    <s v="Closed"/>
    <m/>
    <m/>
    <m/>
    <d v="2023-08-17T00:00:00"/>
    <s v="ZD"/>
    <s v=""/>
    <m/>
    <s v=""/>
    <s v=""/>
    <m/>
    <s v=""/>
    <s v=""/>
    <s v=""/>
    <s v=""/>
  </r>
  <r>
    <m/>
    <s v="PR_0013"/>
    <s v="Overall Programme"/>
    <x v="2"/>
    <s v="Programme Delivery Excellence"/>
    <d v="2022-11-01T00:00:00"/>
    <s v="If programme schemes are inconsistent, or poor in their approach to resident experience, through the delivery of the project, namely through the implementation of relevant processes and procedures (for example consultation, LH buybacks or allocations) then this could negatively impact residents' view of Southwark"/>
    <s v="Strategic Leads"/>
    <s v="External - Social"/>
    <n v="3"/>
    <n v="3"/>
    <s v="Major"/>
    <s v="Reduce"/>
    <s v=" - Clear and robust processes for dealing with residents_x000a_- Follow the council's complaints process when it becomes necessary_x000a_- Aim to be as transparent as possible in our communications with residents"/>
    <s v="Margaret Burrell"/>
    <n v="3"/>
    <n v="2"/>
    <s v=""/>
    <s v="Insignificant"/>
    <m/>
    <s v="Open"/>
    <m/>
    <m/>
    <s v="This needs to be on lessons learnt as well"/>
    <m/>
    <m/>
    <s v=""/>
    <n v="10000000"/>
    <n v="0.6"/>
    <n v="6000000"/>
    <n v="1000000"/>
    <n v="0.4"/>
    <n v="400000"/>
    <n v="5600000"/>
    <n v="0.93333333333333335"/>
  </r>
  <r>
    <m/>
    <s v="Closed - PR_0014"/>
    <m/>
    <x v="0"/>
    <s v="Building Control &amp; Safety Compliance"/>
    <m/>
    <s v="Covenant or other restrictions delay or present a significant obstacle to development on council owned sites"/>
    <s v="Stuart Davis"/>
    <s v="External - Legal"/>
    <m/>
    <m/>
    <s v=""/>
    <m/>
    <s v=" - Ensure that initial due diligence is appropriate for the location of the project"/>
    <s v="Strategic Leads"/>
    <m/>
    <m/>
    <s v=""/>
    <m/>
    <m/>
    <s v="Closed"/>
    <m/>
    <m/>
    <m/>
    <d v="2023-10-16T00:00:00"/>
    <s v="Fortnightly Programme Review"/>
    <s v=""/>
    <m/>
    <s v=""/>
    <s v=""/>
    <m/>
    <s v=""/>
    <s v=""/>
    <s v=""/>
    <s v=""/>
  </r>
  <r>
    <m/>
    <s v="Closed - PR_0015"/>
    <s v="Overall Programme"/>
    <x v="5"/>
    <s v="Stakeholder Relations &amp; Reputation"/>
    <m/>
    <s v="If we do not correctly follow the lengthy and complicated leaseholder buyback process there is a risk of delay in achieving vacant possession, resulting in damage to the council's reputation, and in extreme cases delays and disruption to major estate renewal projects, leading to very high costs."/>
    <s v="Stuart Davis"/>
    <s v="Internal - Resource"/>
    <m/>
    <m/>
    <s v=""/>
    <m/>
    <s v=" - Training on leaseholder buyback processes for SC staff_x000a_ - Review processes and procedures regarding leaseholder buyback and ensure SC is adhering to them_x000a_- Ensure close collaboration with Estates team, Home Ownership team and council surveyors_x000a_- Ensure consistenticy in approach across estate regeneration projects"/>
    <s v="Multiple"/>
    <m/>
    <m/>
    <s v=""/>
    <m/>
    <m/>
    <s v="Closed"/>
    <m/>
    <m/>
    <m/>
    <d v="2025-08-27T00:00:00"/>
    <s v="PMO (SW/AB)"/>
    <s v=""/>
    <n v="0"/>
    <s v=""/>
    <s v=""/>
    <n v="0"/>
    <s v=""/>
    <s v=""/>
    <s v=""/>
    <s v=""/>
  </r>
  <r>
    <m/>
    <s v="Closed - PR_0016"/>
    <m/>
    <x v="3"/>
    <s v="Programme Financial Sustainability"/>
    <m/>
    <s v="If supply chain issues and material prices continue to increase there is a risk that the affordability of the future pipeline will be severely challenged and impact the ability to meet the council Corporate Plan.  Additional costs could lead to the council breaching its prudential borrowing limit"/>
    <s v="Stuart Davis"/>
    <s v="External - Economic"/>
    <m/>
    <m/>
    <s v=""/>
    <m/>
    <s v=" - Reconfigure the programme to keep costs within the borrowing limit"/>
    <s v="Stuart Davis"/>
    <m/>
    <m/>
    <s v=""/>
    <m/>
    <m/>
    <s v="Closed"/>
    <m/>
    <m/>
    <m/>
    <d v="2023-08-17T00:00:00"/>
    <m/>
    <s v=""/>
    <m/>
    <s v=""/>
    <s v=""/>
    <m/>
    <s v=""/>
    <s v=""/>
    <s v=""/>
    <s v=""/>
  </r>
  <r>
    <m/>
    <s v="Closed - PR_0017"/>
    <s v="Overall Programme"/>
    <x v="3"/>
    <s v="Programme Financial Sustainability"/>
    <m/>
    <s v="If the cumulative impact of higher than predicted inflation, interest rates and/or increase in costs continues, schemes that were consider to be affordable at approval may no longer be affordable."/>
    <s v="Stuart Davis"/>
    <s v="External - Economic"/>
    <m/>
    <m/>
    <s v=""/>
    <m/>
    <s v=" - Adopt flexibility in contracts to allow for cost review and phasing_x000a_ - Refresh contract management procedures to ensure effective cost management at all project stages_x000a_- Review the forecast on a monthly basis using EA cost management reports (ensure they are up to date, check dates of last payment certificates)_x000a_"/>
    <s v="Multiple"/>
    <m/>
    <m/>
    <s v=""/>
    <m/>
    <m/>
    <s v="Closed"/>
    <m/>
    <m/>
    <m/>
    <d v="2025-08-27T00:00:00"/>
    <s v="PMO (SW/AB)"/>
    <s v=""/>
    <n v="0"/>
    <s v=""/>
    <s v=""/>
    <n v="0"/>
    <s v=""/>
    <s v=""/>
    <s v=""/>
    <s v=""/>
  </r>
  <r>
    <m/>
    <s v="Closed - PR_0018"/>
    <s v="Overall Programme"/>
    <x v="0"/>
    <s v="Building Control &amp; Safety Compliance"/>
    <m/>
    <s v="If the forthcoming fire safety requirements are implemented as expected there will be a potential gap of 3 months between Gateway 2 and Gateway 3 and therefore a significant delay between handover of property and first let.  This will add to void costs and require additional housing management measures until the property can be occupied. "/>
    <s v="Stuart Davis"/>
    <s v="External - Legal"/>
    <m/>
    <m/>
    <s v=""/>
    <m/>
    <s v=" - Include the increased void cost in development appraisals but this will not prevent the risk from being realised on schemes already on site."/>
    <s v="Multiple"/>
    <m/>
    <m/>
    <s v=""/>
    <m/>
    <m/>
    <s v="Closed"/>
    <m/>
    <m/>
    <m/>
    <d v="2025-01-20T00:00:00"/>
    <s v="SD"/>
    <s v=""/>
    <m/>
    <s v=""/>
    <s v=""/>
    <m/>
    <s v=""/>
    <s v=""/>
    <s v=""/>
    <s v=""/>
  </r>
  <r>
    <m/>
    <s v="Closed - PR_0019"/>
    <s v="Overall Programme"/>
    <x v="3"/>
    <s v="Programme Financial Sustainability"/>
    <m/>
    <s v="If property values start to fall it will have the impact of reducing the value of the expected capital receipts, adversely impacting overall scheme cost and rental yields "/>
    <s v="Stuart Davis"/>
    <s v="External - Economic"/>
    <m/>
    <m/>
    <s v=""/>
    <m/>
    <s v=" - Reappraise sales valuations at each Key Milestone point and prior to handover to develop sales strategy_x000a_- Reflect changes in sales receipts in project cashflow to provide accurate programme cashflow position"/>
    <s v="Strategic Leads"/>
    <m/>
    <m/>
    <s v=""/>
    <m/>
    <m/>
    <s v="Closed"/>
    <m/>
    <m/>
    <m/>
    <d v="2025-08-27T00:00:00"/>
    <s v="PMO (SW/AB)"/>
    <s v=""/>
    <n v="0"/>
    <s v=""/>
    <s v=""/>
    <n v="0"/>
    <s v=""/>
    <s v=""/>
    <s v=""/>
    <s v=""/>
  </r>
  <r>
    <m/>
    <s v="Closed - PR_0020"/>
    <s v="Overall Programme"/>
    <x v="6"/>
    <s v="Technical Delivery &amp; Infrastructure"/>
    <m/>
    <s v="If individual flats in a block have letterboxes in their front doors, rather than in a communal area near the front door, it will affect the specification for the doors as they must be robust and safe with an enclosed door design. Where we are required to close off each floor with a fob it would make access for the postal delivery staff even more difficult. "/>
    <s v="Stuart Davis"/>
    <s v="External - Environmental"/>
    <m/>
    <m/>
    <s v=""/>
    <m/>
    <s v="Ensure designs include that individual post boxes for each flat are provided in the ground floor communal hallway or outside the building. This is to be agreed and so far only applies to Ledbury where it’s been raised as a concern. MVT is in discussions with Landlord Services who want individual flat door letterboxes."/>
    <s v="Strategic Leads"/>
    <m/>
    <m/>
    <s v=""/>
    <m/>
    <m/>
    <s v="Closed"/>
    <m/>
    <m/>
    <m/>
    <d v="2025-08-13T00:00:00"/>
    <s v="SW/AB"/>
    <s v=""/>
    <n v="0"/>
    <s v=""/>
    <s v=""/>
    <n v="0"/>
    <s v=""/>
    <s v=""/>
    <s v=""/>
    <s v=""/>
  </r>
  <r>
    <m/>
    <s v="Closed - PR_0021"/>
    <s v="Overall Programme"/>
    <x v="4"/>
    <s v="Supply Chain &amp; Safety Performance"/>
    <m/>
    <s v="Southwark's standard required level of professional indemnity may be increasingly unaffordable for some suppliers. Another outcome is that design teams are requesting that Southwark Construction directly appoints sub consultants / contractors"/>
    <s v="Stuart Davis"/>
    <s v="Internal - Resource"/>
    <m/>
    <m/>
    <s v=""/>
    <m/>
    <s v=" - Include professional indemnity as a requirement of procuring goods and services and manage relationships with suppliers_x000a_ - Review all ERs to identify the level of professional indemnity cover for contractor / consultants on each project"/>
    <s v="Zoe Davies"/>
    <m/>
    <m/>
    <s v=""/>
    <m/>
    <m/>
    <s v="Closed"/>
    <m/>
    <m/>
    <m/>
    <d v="2025-01-09T00:00:00"/>
    <s v="ZD"/>
    <s v=""/>
    <m/>
    <s v=""/>
    <s v=""/>
    <m/>
    <s v=""/>
    <s v=""/>
    <s v=""/>
    <s v=""/>
  </r>
  <r>
    <m/>
    <s v="Closed - PR_0022"/>
    <m/>
    <x v="0"/>
    <s v="Building Control &amp; Safety Compliance"/>
    <m/>
    <s v="Project design particularly those including the transfer of LB Southwark land may expose the borough to questions regarding compliance relating to the new fire safety and building safety act update."/>
    <s v="Stuart Davis"/>
    <s v="Internal - Mission"/>
    <m/>
    <m/>
    <s v=""/>
    <m/>
    <s v=" - Review projects and highlight any potential issues with recommendations"/>
    <s v="David Amos"/>
    <m/>
    <m/>
    <s v=""/>
    <m/>
    <m/>
    <s v="Closed"/>
    <m/>
    <m/>
    <m/>
    <d v="2023-08-17T00:00:00"/>
    <s v="ZD"/>
    <s v=""/>
    <m/>
    <s v=""/>
    <s v=""/>
    <m/>
    <s v=""/>
    <s v=""/>
    <s v=""/>
    <s v=""/>
  </r>
  <r>
    <m/>
    <s v="Closed - PR_0023"/>
    <s v="Overall Programme"/>
    <x v="4"/>
    <s v="Supply Chain &amp; Safety Performance"/>
    <m/>
    <s v="If a contractor, or subcontractor, ceases trading this could cause project delays, increase project costs and have reputational impacts"/>
    <s v="Stuart Davis"/>
    <s v="External - Economic"/>
    <m/>
    <m/>
    <s v=""/>
    <m/>
    <s v=" - Develop an action plan to enhance monitoring based on observations as well as through formal routes._x000a_- Monitor sub-contractor usage and  whether payments are being made to them on time etc._x000a_- Monitor contractors using FAME alerts (credit referencing)_x000a_- Ensure efficient decision making and timely payments so that contractors can have more certainly regarding their cashflow_x000a_- Monitor progress on site for early warning signs, e.g. performance issues, requests for urgent payments or payments in advance, difficulties retaining sub-contractors, delays in obtaining materials"/>
    <s v="Strategic Leads"/>
    <m/>
    <m/>
    <s v=""/>
    <m/>
    <m/>
    <s v="Closed"/>
    <m/>
    <m/>
    <m/>
    <d v="2025-08-27T00:00:00"/>
    <s v="PMO (SW/AB)"/>
    <s v=""/>
    <n v="0"/>
    <s v=""/>
    <s v=""/>
    <n v="0"/>
    <s v=""/>
    <s v=""/>
    <s v=""/>
    <s v=""/>
  </r>
  <r>
    <m/>
    <s v="Closed - PR_0024"/>
    <s v="Pre 2026 Programme"/>
    <x v="2"/>
    <s v="Programme Delivery Excellence"/>
    <m/>
    <s v="If resource pressure within Building Control continues schemes will experience significant delays to scheme completion that incur financial costs to the council and require additional management measures to be put in place pending occupation."/>
    <s v="Stuart Davis"/>
    <s v="Resource - Internal"/>
    <m/>
    <m/>
    <s v=""/>
    <m/>
    <s v=" - Carry out a cost exercise to estimate the overall cost impact of the delays to the council_x000a_- Hertfordshire Building Control have been brought in to take a look at some of the delayed schemes to review the position_x000a_- Consider changing ERs, or requirement to use ERs, for future programme to allow contractors to not use Southwark Building Control (not applicable to high rises as they will go to regulatory authority, not BC)_x000a_ - A Building Control tracker has been reinstated to track issues and Zoe Davies is meeting with Juliet Seymour monthly to monitor ongoing and new issues"/>
    <s v="Zoe Davies"/>
    <m/>
    <m/>
    <s v=""/>
    <m/>
    <m/>
    <s v="Closed"/>
    <m/>
    <m/>
    <m/>
    <d v="2025-08-27T00:00:00"/>
    <s v="PMO (SW/AB)"/>
    <s v=""/>
    <n v="0"/>
    <s v=""/>
    <s v=""/>
    <n v="0"/>
    <s v=""/>
    <s v=""/>
    <s v=""/>
    <s v=""/>
  </r>
  <r>
    <m/>
    <s v="Closed - PR_0025"/>
    <s v="Overall Programme"/>
    <x v="3"/>
    <s v="Programme Financial Sustainability"/>
    <m/>
    <s v="If there is unsufficient support for a self-funding programme, or it is not possible to secure additional income into the programme, the delivery of the Corporate Plan objectives being met is at risk."/>
    <s v="Stuart Davis"/>
    <s v="Internal - Mission"/>
    <m/>
    <m/>
    <s v=""/>
    <m/>
    <s v=" - Maintain political support for sales properties to be included to help fund the programme_x000a_- Consider the recommendations form the Land Commission findings_x000a_ - Clarify which schemes are to be included in the future programme, undertaking a comprehensive programme review to identify opportunities to bring income into the programme and future sites to deliver new homes that are cost neutral to the council_x000a_- Work to establish principle of using non-grant receipts from one site tied to delivery of affordable homes on another site to demonstrate commercial principles are being applied support corporate objectives"/>
    <s v="Zoe Davies"/>
    <m/>
    <m/>
    <s v=""/>
    <m/>
    <m/>
    <s v="Closed"/>
    <m/>
    <m/>
    <m/>
    <d v="2025-01-09T00:00:00"/>
    <s v="ZD"/>
    <s v=""/>
    <m/>
    <s v=""/>
    <s v=""/>
    <m/>
    <s v=""/>
    <s v=""/>
    <s v=""/>
    <s v=""/>
  </r>
  <r>
    <m/>
    <s v="Closed - PR_0026"/>
    <s v="Pre 2026 Programme"/>
    <x v="0"/>
    <s v="Building Control &amp; Safety Compliance"/>
    <m/>
    <s v="DLUHC guidance on configuration of buildings above a designated height may require project redesign, which may increase costs and delay approval from building control / Council position. See also PR_0042."/>
    <s v="SPM PMO"/>
    <s v="External - Political"/>
    <m/>
    <m/>
    <s v=""/>
    <m/>
    <s v=" - Ensure that any high rise buildings that were on site were sufficiently progressed (15%) are notified and do not get forwarded to the Building Safety Regulator. This list was confirmed by SLs and PMs, and sent to the building control team ahead of the deadline._x000a_ - Review all impacted projects that do not have building control sign off."/>
    <s v="Strategic Leads"/>
    <m/>
    <m/>
    <s v=""/>
    <m/>
    <m/>
    <s v="Closed"/>
    <m/>
    <m/>
    <m/>
    <d v="2024-07-08T00:00:00"/>
    <s v="Stuart Davis"/>
    <s v=""/>
    <m/>
    <s v=""/>
    <s v=""/>
    <m/>
    <s v=""/>
    <s v=""/>
    <s v=""/>
    <s v=""/>
  </r>
  <r>
    <m/>
    <s v="Closed - PR_0027"/>
    <s v="Overall Programme"/>
    <x v="0"/>
    <s v="Building Control &amp; Safety Compliance"/>
    <m/>
    <s v="If tenant decant or leaseholder buybacks required as part of a redevelopment scheme takes longer than planned it could lead to delays, which in turn impacts costs and the availability of grant funding"/>
    <s v="Stuart Davis"/>
    <s v="Internal - Mission"/>
    <m/>
    <m/>
    <s v=""/>
    <m/>
    <s v=" - Early enagagment with Resident Services_x000a_ - Regular communicaton of the VP deadlines to the Vacant Possession steering group_x000a_ - Due diligence at project design to make informed assumption of likely time required and allow contingency in critical path"/>
    <s v="Strategic Leads"/>
    <m/>
    <m/>
    <s v="Major"/>
    <m/>
    <m/>
    <s v="Closed"/>
    <m/>
    <m/>
    <m/>
    <d v="2025-08-27T00:00:00"/>
    <s v="PMO (SW/AB)"/>
    <s v=""/>
    <n v="0"/>
    <s v=""/>
    <s v=""/>
    <n v="0"/>
    <s v=""/>
    <s v=""/>
    <s v=""/>
    <s v=""/>
  </r>
  <r>
    <m/>
    <s v="PR_0028"/>
    <s v="Overall Programme"/>
    <x v="3"/>
    <s v="Programme Financial Sustainability"/>
    <d v="2022-11-01T00:00:00"/>
    <s v="There is a requirement to ensure all new homes are carbon neutral, which presents a risk of increased costs for projects in the development pipeline"/>
    <s v="Stuart Davis"/>
    <s v="Internal - Resource"/>
    <n v="3"/>
    <n v="4"/>
    <s v="Major"/>
    <s v="Reduce"/>
    <s v="Funds secured by climate change team to undertake Passiv House benchmarking study. Looking at the cost/benefit of the application of Passiv House to make an assessment as to whether this would be a viable approach._x000a_ASHP/GSHP, green roofs, brown roofs, etc are included in the designs and viability costings for all schemes._x000a_Explore further carbon neutral funding options with the climate change team."/>
    <s v="Hemali Topiwala"/>
    <n v="3"/>
    <n v="3"/>
    <s v="Minor"/>
    <s v="Insignificant"/>
    <s v="Review"/>
    <s v="Mitigated"/>
    <m/>
    <m/>
    <m/>
    <m/>
    <m/>
    <s v=""/>
    <n v="5000000"/>
    <n v="0.8"/>
    <n v="4000000"/>
    <n v="5000000"/>
    <n v="0.6"/>
    <n v="3000000"/>
    <n v="1000000"/>
    <n v="0.25"/>
  </r>
  <r>
    <m/>
    <s v="PR_0029"/>
    <s v="Overall Programme"/>
    <x v="3"/>
    <s v="Programme Financial Sustainability"/>
    <d v="2022-11-01T00:00:00"/>
    <s v="If Southwark Construction does not deliver on its green and sustainability ambitions and targets there could be reputational damage, political fallout and may impact it's ability to claim GLA grant"/>
    <s v="Stuart Davis"/>
    <s v="Internal - Mission"/>
    <n v="3"/>
    <n v="3"/>
    <s v="Major"/>
    <s v="Reduce"/>
    <s v=" - Introduce a consistent method of monitoring social value KPIs to contractors who are delivering on them_x000a_ - Ensure that Social Value KPIs are included within all relevant procurement_x000a_- Incorporate sustainability into the design and development of all new homes"/>
    <s v="Hemali Topiwala"/>
    <n v="3"/>
    <n v="1"/>
    <s v="Minor"/>
    <s v="Minor"/>
    <s v="Accept"/>
    <s v="Mitigated"/>
    <m/>
    <m/>
    <m/>
    <m/>
    <m/>
    <s v=""/>
    <n v="1000000"/>
    <n v="0.6"/>
    <n v="600000"/>
    <n v="500000"/>
    <n v="0.2"/>
    <n v="100000"/>
    <n v="500000"/>
    <n v="0.83333333333333337"/>
  </r>
  <r>
    <m/>
    <s v="PR_0030"/>
    <s v="Overall Programme"/>
    <x v="7"/>
    <s v="Strategic Objectives &amp; Adaptability"/>
    <d v="2022-11-01T00:00:00"/>
    <s v="If Southwark Construction does not deliver apprenticeships and employment opportunties through the programme there could be reputational damage and political fallout "/>
    <s v="Stuart Davis"/>
    <s v="Internal - Mission"/>
    <n v="3"/>
    <n v="4"/>
    <s v="Major"/>
    <s v="Reduce"/>
    <s v=" - Introduce a consistent method of monitoring social value KPIs to contractors are delivering on them_x000a_ - Ensure that Social Value KPIs are included within all relevant procurement_x000a_- Create apprenticeships and job opportunities within Southwark Construction"/>
    <s v="Zoe Davies"/>
    <n v="2"/>
    <n v="2"/>
    <s v=""/>
    <s v="Insignificant"/>
    <s v="Review"/>
    <s v="Mitigated"/>
    <m/>
    <m/>
    <m/>
    <m/>
    <m/>
    <s v=""/>
    <n v="0"/>
    <n v="0.8"/>
    <n v="0"/>
    <n v="0"/>
    <n v="0.4"/>
    <n v="0"/>
    <n v="0"/>
    <s v=""/>
  </r>
  <r>
    <m/>
    <s v="Closed - PR_0031"/>
    <m/>
    <x v="3"/>
    <s v="Programme Financial Sustainability"/>
    <m/>
    <s v="If costs of approved schemes within the BCHfL programme becomes unaffordable they will need to be removed from the programme, this could have impact on Southwark's credibility and joint objectives around new homes targets"/>
    <s v="Stuart Davis"/>
    <s v="External - Economic"/>
    <m/>
    <m/>
    <s v=""/>
    <m/>
    <s v=" - All BCHfL schemes are on site so this risk has now reduced significantly._x000a_ - GLA colleagues"/>
    <s v="Strategic Leads"/>
    <m/>
    <m/>
    <s v=""/>
    <m/>
    <m/>
    <s v="Closed"/>
    <m/>
    <m/>
    <m/>
    <d v="2023-08-17T00:00:00"/>
    <s v="SW"/>
    <s v=""/>
    <m/>
    <s v=""/>
    <s v=""/>
    <m/>
    <s v=""/>
    <s v=""/>
    <s v=""/>
    <s v=""/>
  </r>
  <r>
    <m/>
    <s v="Closed - PR_0032"/>
    <s v="Overall Programme"/>
    <x v="7"/>
    <s v="Strategic Objectives &amp; Adaptability"/>
    <m/>
    <s v="If Southwark is not able to develop or gain approval for a self financing programme to take forward its future pipeline then we will not be able to drawdown on the approved grant allocation for the AHP, this could have impacts on Southwark's credibility and joint objectives around new homes targets."/>
    <s v="Stuart Davis"/>
    <s v="External - Political"/>
    <m/>
    <m/>
    <s v=""/>
    <m/>
    <s v=" - Cabinet has agreed proposals for schemes to be delivered via development agreement and these are being prioritised to meet CDP targets and to seek to take advantage of GLA grant funding_x000a_- Identify other income streams from S106 or disposals to provide funding for scheme to Start on Site by March 2026_x000a_ - Contribute towards a review of LBS assets and develop corporate disposal strategy"/>
    <s v="Stuart Davis"/>
    <m/>
    <m/>
    <s v="Minor"/>
    <m/>
    <m/>
    <s v="Closed"/>
    <m/>
    <m/>
    <m/>
    <d v="2025-01-09T00:00:00"/>
    <s v="ZD"/>
    <s v=""/>
    <m/>
    <s v=""/>
    <s v=""/>
    <m/>
    <s v=""/>
    <s v=""/>
    <s v=""/>
    <s v=""/>
  </r>
  <r>
    <m/>
    <s v="PR_0033"/>
    <s v="Overall Programme"/>
    <x v="1"/>
    <s v="Resource &amp; Capability Adequacy"/>
    <d v="2022-11-01T00:00:00"/>
    <s v="If the programme does not have the right type and level of skills to deliver a complex development programme there is a risk that schemes could take longer to deliver, cost more, and that we are unable to meet the Corporate Plan targets"/>
    <s v="Stuart Davis"/>
    <s v="Internal - Team"/>
    <n v="3"/>
    <n v="3"/>
    <s v="Major"/>
    <s v="Reduce"/>
    <s v=" - Ongoing recruitment to bring in skilled staff as required_x000a_ - Skills audit carried out to identify where gaps exist and put in place a continuous improvement plan_x000a_- Focussed and and intense skills development and training programme across the team"/>
    <s v="Zoe Davies"/>
    <n v="2"/>
    <n v="2"/>
    <s v=""/>
    <s v="Insignificant"/>
    <s v="Review"/>
    <s v="Mitigated"/>
    <m/>
    <m/>
    <m/>
    <m/>
    <m/>
    <s v=""/>
    <n v="0"/>
    <n v="0.6"/>
    <n v="0"/>
    <n v="0"/>
    <n v="0.4"/>
    <n v="0"/>
    <n v="0"/>
    <s v=""/>
  </r>
  <r>
    <m/>
    <s v="Closed - PR_0034"/>
    <s v="Overall Programme"/>
    <x v="7"/>
    <s v="Strategic Objectives &amp; Adaptability"/>
    <m/>
    <s v="As funds are diverted away from the new homes programme the council will need to adopt alternative approaches to generating income into the programme in order to deliver new affordable homes."/>
    <s v="Stuart Davis"/>
    <s v="Internal - Resource"/>
    <m/>
    <m/>
    <s v=""/>
    <m/>
    <s v=" - Containing cost and forecasting/timing of payments is key to planning the overall picture_x000a_- Our need for borrowing for the new build programme is reducing with the move towards developer led schemes_x000a_ - Understanding and maximisation of our land value is key_x000a_- Work closely with finance to understand wider pressures on HRA and specific risk to schemes in the programme_x000a_- Monitor project cashflows closely_x000a_- Monthly reporting to HRA Budget Recovery Board (formerly HIB) in relation to HRA strategy"/>
    <s v="Multiple"/>
    <m/>
    <m/>
    <s v=""/>
    <m/>
    <m/>
    <s v="Closed"/>
    <m/>
    <m/>
    <m/>
    <d v="2025-08-27T00:00:00"/>
    <s v="PMO (SW/AB)"/>
    <s v=""/>
    <n v="0"/>
    <s v=""/>
    <s v=""/>
    <n v="0"/>
    <s v=""/>
    <s v=""/>
    <s v=""/>
    <s v=""/>
  </r>
  <r>
    <m/>
    <s v="Closed - PR_0035"/>
    <s v="Overall Programme"/>
    <x v="3"/>
    <s v="Programme Financial Sustainability"/>
    <m/>
    <s v="If there is not a sales and marketing strategy in place for private sale homes in the programme then the council will not maximise the income potential and affect the council's reputation as a good developer"/>
    <s v="Stuart Davis"/>
    <s v="Internal - Resource"/>
    <m/>
    <m/>
    <s v=""/>
    <m/>
    <s v=" - Hackney Sales appointed as consultants to develop a new sales and marketing strategy, including an after-sales management plan_x000a_ - Ensure relevant staff are trained_x000a_ - Embed Sales Strategy into delivery governance"/>
    <s v="Zoe Davies"/>
    <m/>
    <m/>
    <s v=""/>
    <m/>
    <m/>
    <s v="Closed"/>
    <m/>
    <m/>
    <m/>
    <d v="2025-01-09T00:00:00"/>
    <s v="ZD"/>
    <m/>
    <m/>
    <s v=""/>
    <s v=""/>
    <m/>
    <s v=""/>
    <s v=""/>
    <s v=""/>
    <s v=""/>
  </r>
  <r>
    <m/>
    <s v="Closed - PR_0036"/>
    <s v="Overall Programme"/>
    <x v="5"/>
    <s v="Stakeholder Relations &amp; Reputation"/>
    <m/>
    <s v="If the management of leasehold and shared ownership homes is poor the council this will have financial and repulational impacts on the programme"/>
    <s v="SPM PMO"/>
    <s v="Internal - Resource"/>
    <m/>
    <m/>
    <s v=""/>
    <m/>
    <s v=" - After-sales management of defects needs to be closely managed_x000a_- Initiate stakeholder engagement with teams across the council in advance of starting the future programme - to establish parameters around service charges, 'segregated' spaces in mixed tenure developments, ongoing maintenance (particularly of new green technology) etc._x000a_ - Hackney Sales appointed as consultants to develop a new sales and marketing strategy, incorporating an approach to the management of shared ownership homes in partnership with the council's home ownership team"/>
    <s v="Zoe Davies"/>
    <m/>
    <m/>
    <s v=""/>
    <m/>
    <m/>
    <s v="Closed"/>
    <m/>
    <m/>
    <m/>
    <d v="2025-01-20T00:00:00"/>
    <s v="SD"/>
    <m/>
    <m/>
    <s v=""/>
    <s v=""/>
    <m/>
    <s v=""/>
    <s v=""/>
    <s v=""/>
    <s v=""/>
  </r>
  <r>
    <m/>
    <s v="Closed - PR_0037"/>
    <s v="Pre 2026 Programme"/>
    <x v="4"/>
    <s v="Supply Chain &amp; Safety Performance"/>
    <m/>
    <s v="If our contractors continue to submit poor quality information to building control, there is a risk that this will cause further delays and incur additional costs on schemes"/>
    <s v="Strategic Leads"/>
    <s v="Internal - Approach"/>
    <m/>
    <m/>
    <s v=""/>
    <m/>
    <s v="PM’s and EA’s to take responsibility in ensuring that the correct information is being issued by the contractors to satisfy BC requirements.  _x000a_Building Control to provide clarity on how information should be submitted by contractors in order the SC can ensure this is reflected in the ERs (if/as required)."/>
    <s v="Strategic Leads"/>
    <m/>
    <m/>
    <s v=""/>
    <m/>
    <m/>
    <s v="Closed"/>
    <m/>
    <m/>
    <m/>
    <d v="2024-07-08T00:00:00"/>
    <s v="Stuart Davis"/>
    <m/>
    <m/>
    <s v=""/>
    <s v=""/>
    <m/>
    <s v=""/>
    <s v=""/>
    <s v=""/>
    <s v=""/>
  </r>
  <r>
    <m/>
    <s v="Closed - PR_0038"/>
    <s v="Overall Programme"/>
    <x v="8"/>
    <s v="Community Benefit Delivery"/>
    <m/>
    <s v="There is a scope gap between what lightning protection companies do and what our contractors do to satisfy those requirements. If we do not close this gap there is a risk that there may not be adequate protection on buildings, resulting in serious damage or harm to individuals. This will also have an impact on our insurance requirements."/>
    <s v="Strategic Director"/>
    <s v="Internal - Approach"/>
    <m/>
    <m/>
    <s v=""/>
    <m/>
    <s v="All PM’s have been advised that it’s the main contractor has priced the scheme to provide a safe system. This means a safe system across the building and services in its entirety. Therefore it’s the contractors responsibility to provide this will full certification. The certification needs to include all systems on the roof and if the lightning protection is installed at a different time to the PV panels and rest of the services on the roof then the certification needs to be redone when it’s all complete. For them to be able to prove that the adequate coverage is achieved we would suggest a rolling Sphere which would show that all roof mounted equipment was covered to be included in the design and review of the scheme. If there is concern in regards to the quality of the certification we receive (i.e. incomplete or caveated certification) , we reserve the right to appoint a third party consultant to ensure that the required lightning protection has been achieved. The cost of the third party consultant will be charged back to the contractor to pay for. "/>
    <s v="Multiple"/>
    <m/>
    <m/>
    <s v=""/>
    <m/>
    <m/>
    <s v="Closed"/>
    <m/>
    <m/>
    <m/>
    <d v="2025-08-27T00:00:00"/>
    <s v="PMO (SW/AB)"/>
    <m/>
    <n v="0"/>
    <s v=""/>
    <s v=""/>
    <n v="0"/>
    <s v=""/>
    <s v=""/>
    <s v=""/>
    <s v=""/>
  </r>
  <r>
    <m/>
    <s v="Closed - PR_0039"/>
    <s v="Overall Programme"/>
    <x v="2"/>
    <s v="Programme Delivery Excellence"/>
    <m/>
    <s v="Delays to utilities works are considered to be 'relevant events' under our contracts and as such are valid reasons for extension of time submissions. If these works are not carried out in a timely fashion by the stutory undertakers there is a risk of delays to project delivery and financial and reputational damage to the overall programme."/>
    <s v="Stuart Davis"/>
    <s v="External - Legal"/>
    <m/>
    <m/>
    <s v=""/>
    <m/>
    <s v=" - Utilise known contacts in utility companies and work with colleagues in SC and other teams to access these_x000a_- Consider use of Utilities Taskforce but this comes at a cost_x000a_- More investigative work and pre-work to be undertaken on sites_x000a_- Closer project management to ensure that everything possible is being done to programme utilities early - it should be planned in at the start of the project._x000a_- Team needs to be more aware of timings around easements etc._x000a_- Additional budget sums to put into future planning_x000a_- Ensure that contractor programmes include sufficient time in their programmes for statutory bodies to undertake utilities works and that those works are scheduled in with the utility companies as far in advance as possible. Ensure contractors are making best endeavours rather than accepting to allow for other delays"/>
    <s v="Strategic Leads"/>
    <m/>
    <m/>
    <s v=""/>
    <m/>
    <m/>
    <s v="Closed"/>
    <m/>
    <m/>
    <m/>
    <d v="2025-08-27T00:00:00"/>
    <s v="PMO (SW/AB)"/>
    <m/>
    <n v="0"/>
    <s v=""/>
    <s v=""/>
    <n v="0"/>
    <s v=""/>
    <s v=""/>
    <s v=""/>
    <s v=""/>
  </r>
  <r>
    <m/>
    <s v="Closed - PR_0040"/>
    <m/>
    <x v="0"/>
    <s v="Building Control &amp; Safety Compliance"/>
    <m/>
    <s v="If bicycle storage is not considered safe by the London Fire Brigade (LFB) there is a risk that this will contribute to futher delays with Building Control sign-off._x000a_Builidng Control have advised that LFB req for communal bike stores that open into communal corridors need to have a ventilated lobby. If a lobby is not possible access needs to be external instead. Risk is not being signed off if we do not comply and additional costs for lobby or external doors - planning implication as will need to go back for material/non-material amendment"/>
    <s v="Strategic Leads"/>
    <s v="External - Technological"/>
    <m/>
    <m/>
    <s v=""/>
    <m/>
    <s v="Design requirements incorporated into new version of ERs._x000a_Review bicycle storage designs across all projects and consider whether redesigns may be necessary with input from LFB."/>
    <s v="Multiple"/>
    <m/>
    <m/>
    <s v=""/>
    <m/>
    <m/>
    <s v="Closed"/>
    <m/>
    <m/>
    <m/>
    <d v="2024-01-08T00:00:00"/>
    <s v="ZD"/>
    <m/>
    <m/>
    <s v=""/>
    <s v=""/>
    <m/>
    <s v=""/>
    <s v=""/>
    <s v=""/>
    <s v=""/>
  </r>
  <r>
    <m/>
    <s v="Closed - PR_0041"/>
    <s v="Overall Programme"/>
    <x v="3"/>
    <s v="Programme Financial Sustainability"/>
    <m/>
    <s v="If we do not allocate and use our indicative grant on time there is a risk that the GLA will withdraw the funding, which presents a risk to our ability to deliver. "/>
    <s v="Strategic Leads"/>
    <s v="Internal - Resource"/>
    <m/>
    <m/>
    <s v=""/>
    <m/>
    <s v=" - Ensure confirmed projects submitted to the GLA in good time and ensure those schemes named in the grant allocation are successful."/>
    <s v="Zoe Davies"/>
    <m/>
    <m/>
    <s v=""/>
    <m/>
    <m/>
    <s v="Closed"/>
    <m/>
    <m/>
    <m/>
    <d v="2025-08-27T00:00:00"/>
    <s v="PMO (SW/AB)"/>
    <m/>
    <n v="0"/>
    <s v=""/>
    <s v=""/>
    <n v="0"/>
    <s v=""/>
    <s v=""/>
    <s v=""/>
    <s v=""/>
  </r>
  <r>
    <m/>
    <s v="Closed - PR_0042"/>
    <s v="Overall Programme"/>
    <x v="0"/>
    <s v="Building Control &amp; Safety Compliance"/>
    <m/>
    <s v="If works need to be paused while drawing packs are reviewed in light of new building safety legislation there is a risk that we may require an extension of ~3 months to be added at the commencement and completion of projects where there are buildings of 18 metres and above."/>
    <s v="Stuart Davis"/>
    <s v="External - Legal"/>
    <m/>
    <m/>
    <s v=""/>
    <m/>
    <s v=" Building Control are currently seeking clarity from the H&amp;S regulator to get further clarity on how this will be realised on actual projects._x000a_Add in time at the Gateway 3 stage"/>
    <s v="Multiple"/>
    <m/>
    <m/>
    <s v=""/>
    <m/>
    <m/>
    <s v="Closed"/>
    <m/>
    <m/>
    <m/>
    <d v="2025-01-20T00:00:00"/>
    <s v="SD"/>
    <m/>
    <m/>
    <s v=""/>
    <s v=""/>
    <m/>
    <s v=""/>
    <s v=""/>
    <s v=""/>
    <s v=""/>
  </r>
  <r>
    <m/>
    <s v="Closed - PR_0043"/>
    <m/>
    <x v="1"/>
    <s v="Resource &amp; Capability Adequacy"/>
    <m/>
    <s v="Lack of availability of in-house Legal resourcing could cause significant delays to the sales and marketing of private and shared ownership properties"/>
    <s v="Stuart Davis"/>
    <s v="Internal - Resource"/>
    <m/>
    <m/>
    <s v=""/>
    <m/>
    <s v="Resolved - SD has signed GW1&amp;2 for direct award for conveyancing contract"/>
    <s v="External"/>
    <m/>
    <m/>
    <s v=""/>
    <m/>
    <m/>
    <s v="Closed"/>
    <m/>
    <m/>
    <m/>
    <d v="2023-10-13T00:00:00"/>
    <s v="ZD"/>
    <m/>
    <m/>
    <s v=""/>
    <s v=""/>
    <m/>
    <s v=""/>
    <s v=""/>
    <s v=""/>
    <s v=""/>
  </r>
  <r>
    <m/>
    <s v="Closed - PR_0044"/>
    <m/>
    <x v="1"/>
    <s v="Resource &amp; Capability Adequacy"/>
    <m/>
    <s v="There is a risk that when Matthew Jackson leaves the council there will be resourcing issues in the Property Services team, pending recruitment to the Head of Property Services position"/>
    <s v="Stuart Davis"/>
    <s v="Internal - Resource"/>
    <m/>
    <m/>
    <s v=""/>
    <m/>
    <s v="Paul Davies can sign off disposals in the interim"/>
    <s v="External"/>
    <m/>
    <m/>
    <s v=""/>
    <m/>
    <m/>
    <s v="Closed"/>
    <m/>
    <m/>
    <m/>
    <d v="2023-10-13T00:00:00"/>
    <s v="ZD"/>
    <m/>
    <m/>
    <s v=""/>
    <s v=""/>
    <m/>
    <s v=""/>
    <s v=""/>
    <s v=""/>
    <s v=""/>
  </r>
  <r>
    <m/>
    <s v="Closed - PR_0045"/>
    <m/>
    <x v="1"/>
    <s v="Resource &amp; Capability Adequacy"/>
    <m/>
    <s v="The lack of occupational therapy specialist advise available to SC poses a risk to the design of adaptable properties"/>
    <s v="Stuart Davis"/>
    <s v="Internal - Resource"/>
    <m/>
    <m/>
    <s v=""/>
    <m/>
    <s v="A new resource has been appointed to work with SC on this."/>
    <s v="External"/>
    <m/>
    <m/>
    <s v="Severe"/>
    <m/>
    <m/>
    <s v="Closed"/>
    <m/>
    <m/>
    <m/>
    <d v="2023-10-13T00:00:00"/>
    <s v="ZD"/>
    <m/>
    <m/>
    <s v=""/>
    <s v=""/>
    <m/>
    <s v=""/>
    <s v=""/>
    <s v=""/>
    <s v=""/>
  </r>
  <r>
    <m/>
    <s v="PR_0046"/>
    <s v="Overall Programme"/>
    <x v="2"/>
    <s v="Programme Delivery Excellence"/>
    <d v="2023-11-01T00:00:00"/>
    <s v="If the council were subject to a data hack we could potentially lose access to all of our records, which would significantly derail the programme."/>
    <s v="Strategic Director"/>
    <s v="External - Technological"/>
    <n v="5"/>
    <n v="3"/>
    <s v="Severe"/>
    <s v="Reduce"/>
    <s v=" - Expedite the move the Sharepoint asap_x000a_ - Comply with the council's data security guidance, ensuring all staff understand the risks and undertake annual cyber security training"/>
    <s v="Margaret Burrell"/>
    <n v="5"/>
    <n v="2"/>
    <s v="Minor"/>
    <s v="Major"/>
    <s v="Accept"/>
    <s v="Tolerated"/>
    <m/>
    <m/>
    <m/>
    <m/>
    <m/>
    <m/>
    <n v="0"/>
    <n v="0.6"/>
    <n v="0"/>
    <n v="0"/>
    <n v="0.4"/>
    <n v="0"/>
    <n v="0"/>
    <s v=""/>
  </r>
  <r>
    <m/>
    <s v="PR_0047"/>
    <s v="Overall Programme"/>
    <x v="2"/>
    <s v="Programme Delivery Excellence"/>
    <d v="2024-04-01T00:00:00"/>
    <s v="If surveys and investigative works at pre-contract stage are not sufficiently robust there is a risk of increased project costs, or of a project being stopped after it has started on site."/>
    <s v="Stuart Davis"/>
    <s v="Internal - Approach"/>
    <n v="3"/>
    <n v="3"/>
    <s v="Major"/>
    <s v="Reduce"/>
    <s v=" - Ensure that robust investigations are built into the feasibility stage of all schemes not yet in contract_x000a_ - Investigate whether surveys and investigations have been conducted on projects undweray and risk assess and commission them where appropriate on schemes that are already underway "/>
    <s v="Margaret Burrell"/>
    <n v="2"/>
    <n v="2"/>
    <s v=""/>
    <s v="Insignificant"/>
    <s v="Review"/>
    <s v="Mitigated"/>
    <m/>
    <m/>
    <m/>
    <m/>
    <m/>
    <m/>
    <n v="0"/>
    <n v="0.6"/>
    <n v="0"/>
    <n v="0"/>
    <n v="0.4"/>
    <n v="0"/>
    <n v="0"/>
    <s v=""/>
  </r>
  <r>
    <m/>
    <s v="Closed - PR_0048"/>
    <m/>
    <x v="3"/>
    <s v="Programme Financial Sustainability"/>
    <m/>
    <s v="If we continue to deliver shared ownership homes via S.106 we cannot maximise rent income due to the low maximum household income levels (in the AH SPD) that are not in line with the industry standard - £90k CFG "/>
    <s v="Stuart Davis"/>
    <s v="Internal - Approach"/>
    <m/>
    <m/>
    <s v=""/>
    <m/>
    <s v=" - Open discussions with Planning colleagues to advise them of the impact_x000a_ - Ensure PM's understand the impact on scheme appraisals and future rental income / viability"/>
    <s v="Multiple"/>
    <m/>
    <m/>
    <s v=""/>
    <m/>
    <m/>
    <s v="Closed"/>
    <m/>
    <m/>
    <m/>
    <m/>
    <m/>
    <m/>
    <n v="0"/>
    <s v=""/>
    <s v=""/>
    <n v="0"/>
    <s v=""/>
    <s v=""/>
    <s v=""/>
    <s v=""/>
  </r>
  <r>
    <m/>
    <s v="Closed - PR_0049"/>
    <s v="Overall Programme"/>
    <x v="2"/>
    <s v="Programme Delivery Excellence"/>
    <m/>
    <s v="If we do not have an EA scope of services and an agreed suite of documentation with regular scheduled updates that is enforced across all projects, particularly a seamless change management process, there is a risk of inconsistency and lack of clarity on cost increases."/>
    <s v="Strategic Leads"/>
    <s v="Internal - Approach"/>
    <m/>
    <m/>
    <s v=""/>
    <m/>
    <s v="Discussions undertaken to provide clarity to EAs and PMs on roles and responsibilities throughout the design &amp; delivery process. PMs to ensure that the cost and budget plans are regularly reviewed with all changes assessed thoroughly before approvals. All changes to be formally logged as part of the change management process to ensure consistency."/>
    <s v="Mariola Viegas-Trimble"/>
    <m/>
    <m/>
    <s v=""/>
    <m/>
    <m/>
    <s v="Closed"/>
    <m/>
    <m/>
    <m/>
    <d v="2025-08-27T00:00:00"/>
    <s v="PMO (SW/AB)"/>
    <m/>
    <n v="0"/>
    <s v=""/>
    <s v=""/>
    <n v="0"/>
    <s v=""/>
    <s v=""/>
    <s v=""/>
    <s v=""/>
  </r>
  <r>
    <m/>
    <s v="Closed - PR_0050"/>
    <s v="Overall Programme"/>
    <x v="4"/>
    <s v="Supply Chain &amp; Safety Performance"/>
    <m/>
    <s v="If there continue to be increasing numbers of requests for extensions of time and financial penalties from contractors across various projects, there is a risk that such disputes will lead to more project delays, increased costs, and strained contractual relationships, impacting the council's operations and public trust._x000a__x000a_"/>
    <s v="Stuart Davis"/>
    <s v="Internal - Mission"/>
    <m/>
    <m/>
    <s v=""/>
    <m/>
    <s v=" - Increase focus on contract workshops for staff_x000a_ - Manage EAs more closely and depend on them less for by increasing PM skills_x000a_ - Look at changing our procurement routes as what worked before does not suit where we are now_x000a_ - Issues on particular schemes to be escalated, and tracked and monitored at a programme level on a weekly basis, bringing in knowledge and skillsets from across the team_x000a_ - Work on contingencies before issuing instructions _x000a_- Contract review and clarification to ensure understanding and set clear expectations _x000a_- Dispute resolution mechanism to strength the existing resolution process and avoid litigation and resolve issues amicably_x000a_- Performance Monitoring to ensure contract compliance and satisfaction with the work delivered _x000a_- Change management Protocol to streamline the process for managing and approving changes to prevent misunderstanding and disputes related to unapproved modification _x000a__x000a__x000a__x000a_"/>
    <s v="Strategic Leads"/>
    <m/>
    <m/>
    <s v=""/>
    <m/>
    <m/>
    <s v="Closed"/>
    <m/>
    <m/>
    <m/>
    <d v="2025-08-27T00:00:00"/>
    <s v="PMO (SW/AB)"/>
    <m/>
    <n v="0"/>
    <s v=""/>
    <s v=""/>
    <n v="0"/>
    <s v=""/>
    <s v=""/>
    <s v=""/>
    <s v=""/>
  </r>
  <r>
    <m/>
    <s v="Closed - PR_0051"/>
    <s v="Overall Programme"/>
    <x v="0"/>
    <s v="Building Control &amp; Safety Compliance"/>
    <m/>
    <s v="There is currently no agreed process for the management of CCTV cameras on new builds. This presents a reputational risk to the council as having 'dummy' cameras is agains the standards that the council has signed up to."/>
    <s v="Strategic Director"/>
    <s v="Internal - Rites and rules"/>
    <m/>
    <m/>
    <s v=""/>
    <m/>
    <s v=" - Work with CCTV team and resident services to ensure that there is an agreement in place for how CCTV will be managed post-handover._x000a_ - Do not install cameras unless they have been requested by a stekeholder within the council or by the police."/>
    <s v="Mariola Viegas-Trimble"/>
    <m/>
    <m/>
    <s v=""/>
    <m/>
    <m/>
    <s v="Closed"/>
    <m/>
    <m/>
    <m/>
    <d v="2025-08-27T00:00:00"/>
    <s v="PMO (SW/AB)"/>
    <m/>
    <n v="0"/>
    <s v=""/>
    <s v=""/>
    <n v="0"/>
    <s v=""/>
    <s v=""/>
    <s v=""/>
    <s v=""/>
  </r>
  <r>
    <m/>
    <s v="Closed - PR_0052"/>
    <s v="Overall Programme"/>
    <x v="0"/>
    <s v="Building Control &amp; Safety Compliance"/>
    <m/>
    <s v="There is currently no established guidance in the council that details key contacts and the process that is needed to set up PIN numbers and information for secure information boxes (SIBs), which are a requirement for buildings over 11 metres or 5 storeys. This presents a risk as it means that we are unable to advise contractors on the details to register and order these SIBs, which cause a delay to handover, and associated costs related to that."/>
    <s v="Strategic Director"/>
    <s v="Internal - Approach"/>
    <m/>
    <m/>
    <s v=""/>
    <m/>
    <s v=" - There have been further developments in regards to SIB and the SC design &amp; technical lead is liaising with other departments to create a SIB protocol to ensure all relevant teams are clear on responsibilities and timelines. "/>
    <s v="Mariola Viegas-Trimble"/>
    <m/>
    <m/>
    <s v=""/>
    <m/>
    <m/>
    <s v="Closed"/>
    <m/>
    <m/>
    <m/>
    <d v="2025-08-27T00:00:00"/>
    <s v="PMO (SW/AB)"/>
    <m/>
    <n v="0"/>
    <s v=""/>
    <s v=""/>
    <n v="0"/>
    <s v=""/>
    <s v=""/>
    <s v=""/>
    <s v=""/>
  </r>
  <r>
    <m/>
    <s v="Closed - PR_0053"/>
    <s v="Future Programme 2026+"/>
    <x v="6"/>
    <s v="Technical Delivery &amp; Infrastructure"/>
    <m/>
    <s v="The communal district heating system has a planned timeline for delivery which is managed by the Heat Networks team in Engineering Services.  If we do not align this with our future delivery programme and ensure that the appropriate infrastructure will be in place and aligns with our delivery plans, there is a risk that schemes will need additional heating systems to be installed as a backup which will incur additional charges to our projects.  "/>
    <s v="Strategic Director"/>
    <s v="Internal - Approach"/>
    <m/>
    <m/>
    <s v=""/>
    <m/>
    <s v=" - To be incorporated into programming of the future programme work with Engineering Services Heat Networks Team on the timeline"/>
    <s v="Future Programme Team"/>
    <m/>
    <m/>
    <s v="Minor"/>
    <m/>
    <m/>
    <s v="Closed"/>
    <m/>
    <m/>
    <m/>
    <d v="2025-01-20T00:00:00"/>
    <s v="SD"/>
    <m/>
    <m/>
    <s v=""/>
    <s v=""/>
    <m/>
    <s v=""/>
    <s v=""/>
    <s v=""/>
    <s v=""/>
  </r>
  <r>
    <m/>
    <s v="PR_0054"/>
    <s v="Future Programme 2026+"/>
    <x v="0"/>
    <s v="Building Control &amp; Safety Compliance"/>
    <d v="2024-08-01T00:00:00"/>
    <s v="If we do not ensure that we are meeting evolving statutory environmental standards, there is a risk of reputational damage as we are under public scrutiny if we do not adhere to them under the future progamme. "/>
    <s v="Stuart Davis"/>
    <s v="External - Environmental"/>
    <n v="2"/>
    <n v="3"/>
    <s v="Moderate"/>
    <s v="Reduce"/>
    <s v="Partner with green technology firms, secure grants for sustainable projects, and include environmental objectives in all development agreements to ensure compliance and leadership in sustainability. "/>
    <s v="Osama Shoush"/>
    <n v="2"/>
    <n v="2"/>
    <s v=""/>
    <s v="Minor"/>
    <s v="Accept"/>
    <s v="Mitigated"/>
    <m/>
    <m/>
    <m/>
    <m/>
    <m/>
    <m/>
    <n v="1000000"/>
    <n v="0.6"/>
    <n v="600000"/>
    <n v="1000000"/>
    <n v="0.4"/>
    <n v="400000"/>
    <n v="200000"/>
    <n v="0.33333333333333331"/>
  </r>
  <r>
    <m/>
    <s v="Closed - PR_0055"/>
    <s v="Future Programme 2026+"/>
    <x v="3"/>
    <s v="Programme Financial Sustainability"/>
    <m/>
    <s v="There is limited public funding available to the programme, which results in an increased dependency on external financing mechanisms. This presents a risk to our ability to deliver."/>
    <s v="Stuart Davis"/>
    <s v="External - Economic"/>
    <m/>
    <m/>
    <s v=""/>
    <m/>
    <s v=" - Key spending to be mapped out against the programme to mitigate risk of spending too much, too quickly, and to account for external funding sources and governance approvals_x000a_- Explore various funding sources including government grants, public-private partnerships, and long-term financial instruments. Ensure transparency and regular financial reporting to stakeholders to maintain trust and accountability._x000a_Consider the tenure mix and make it 50:50 to maximise income."/>
    <s v="Multiple"/>
    <m/>
    <m/>
    <s v="Major"/>
    <m/>
    <m/>
    <s v="Closed"/>
    <m/>
    <m/>
    <m/>
    <d v="2025-08-27T00:00:00"/>
    <s v="PMO (SW/AB)"/>
    <m/>
    <n v="0"/>
    <s v=""/>
    <s v=""/>
    <n v="0"/>
    <s v=""/>
    <s v=""/>
    <s v=""/>
    <s v=""/>
  </r>
  <r>
    <m/>
    <s v="PR_0056"/>
    <s v="Future Programme 2026+"/>
    <x v="3"/>
    <s v="Programme Financial Sustainability"/>
    <d v="2024-08-01T00:00:00"/>
    <s v="If we fail to meet the critical timeline for maximising GLA funding, the schemes' viability is at risk."/>
    <s v="SPM PMO"/>
    <s v="Internal - Team"/>
    <n v="5"/>
    <n v="3"/>
    <s v="Severe"/>
    <s v="Reduce"/>
    <s v="Implement strict project management governance and ensure proactive scheduling and regular milestone reviews. Explore alternative funding, such as right to buy receipts. Work closely with the GLA to understand the future funding programme as early as possible. "/>
    <s v="Hemali Topiwala"/>
    <n v="4"/>
    <n v="2"/>
    <s v="Minor"/>
    <s v="Minor"/>
    <s v="Review"/>
    <s v="Mitigated"/>
    <m/>
    <m/>
    <m/>
    <m/>
    <m/>
    <m/>
    <n v="150000000"/>
    <n v="0.6"/>
    <n v="90000000"/>
    <n v="150000000"/>
    <n v="0.4"/>
    <n v="60000000"/>
    <n v="30000000"/>
    <n v="0.33333333333333331"/>
  </r>
  <r>
    <m/>
    <s v="PR_0057"/>
    <s v="Future Programme 2026+"/>
    <x v="7"/>
    <s v="Strategic Objectives &amp; Adaptability"/>
    <d v="2024-08-01T00:00:00"/>
    <s v="If we are not transparent in our communications around our ability to deliver new homes in the future programme, there is a risk of negative public perception and lack of stakeholder trust, especially in projects involving large public investments."/>
    <s v="Stuart Davis"/>
    <s v="External - Social"/>
    <s v="4"/>
    <s v="3"/>
    <s v="Major"/>
    <s v="Reduce"/>
    <s v="Manage comms carefully with clarity around what the obstacles are._x000a_Ensure robust stakeholder engagement processes, regular public updates, and transparent decision-making to build and maintain public trust._x000a_Work with the developers to ensure communication is key for future homes programme to all stakeholders."/>
    <s v="Zoe Davies"/>
    <n v="3"/>
    <n v="1"/>
    <s v="Major"/>
    <s v="Minor"/>
    <s v="Accept"/>
    <s v="Managed"/>
    <m/>
    <m/>
    <m/>
    <m/>
    <m/>
    <m/>
    <n v="10000000"/>
    <s v=""/>
    <s v=""/>
    <n v="5000000"/>
    <n v="0.2"/>
    <n v="1000000"/>
    <s v=""/>
    <s v=""/>
  </r>
  <r>
    <m/>
    <s v="PR_0058"/>
    <s v="Overall Programme"/>
    <x v="7"/>
    <s v="Strategic Objectives &amp; Adaptability"/>
    <d v="2024-08-01T00:00:00"/>
    <s v="If there are changes to the political landscape, leadership or public policy, there is a risk of negative impacts on funding and project priorities."/>
    <s v="Stuart Davis"/>
    <s v="External - Political"/>
    <n v="4"/>
    <n v="4"/>
    <s v="Severe"/>
    <s v="Reduce"/>
    <s v="Maintain strong relations with political stakeholders across a spectrum of potential alignments, prepare for policy shifts with adaptable project plans, and ensure that projects align with long-term public goals."/>
    <s v="Zoe Davies"/>
    <n v="4"/>
    <n v="3"/>
    <s v=""/>
    <s v="Moderate"/>
    <s v="Review"/>
    <s v="Tolerated"/>
    <m/>
    <m/>
    <m/>
    <m/>
    <m/>
    <m/>
    <n v="20000000"/>
    <n v="0.8"/>
    <n v="16000000"/>
    <n v="20000000"/>
    <n v="0.6"/>
    <n v="12000000"/>
    <n v="4000000"/>
    <n v="0.25"/>
  </r>
  <r>
    <m/>
    <s v="Closed - PR_0059"/>
    <s v="Future Programme 2026+"/>
    <x v="3"/>
    <s v="Programme Financial Sustainability"/>
    <m/>
    <s v="The economic viability of properties developed under public projects in fluctuating markets presents a challenge to developers' appetite for sales risk. This presents a risk to our ability to sell units, which impacts on financial viabliity for the programme overall."/>
    <s v="Stuart Davis"/>
    <s v="External - Economic"/>
    <m/>
    <m/>
    <s v=""/>
    <m/>
    <s v="Develop marketing strategies that align with public sector goals, offer incentives for early buyers, and plan for diverse usage scenarios to stabilise revenue streams. Prioritise sequencing of deliverables with building-out of social homes first by targetting developers who are not as reliant on borrowing. _x000a_If we plan to partner with RPs plan early on for Shared Ownership to transfer risk. _x000a_Price fluctuations will impact the developer so we need to produce a sensible pricing agreement, which is not too onerous on the overage clauses.  "/>
    <s v="Multiple"/>
    <m/>
    <m/>
    <s v="Minor"/>
    <m/>
    <m/>
    <s v="Closed"/>
    <m/>
    <m/>
    <m/>
    <d v="2025-01-20T00:00:00"/>
    <s v="SD"/>
    <m/>
    <m/>
    <s v=""/>
    <s v=""/>
    <m/>
    <s v=""/>
    <s v=""/>
    <s v=""/>
    <s v=""/>
  </r>
  <r>
    <m/>
    <s v="PR_0060"/>
    <s v="Overall Programme"/>
    <x v="0"/>
    <s v="Building Control &amp; Safety Compliance"/>
    <d v="2024-08-01T00:00:00"/>
    <s v="If we do not stay abreast of changes in building regulations there is a risk that it will impact our ability to deliver compliant public development projects."/>
    <s v="Stuart Davis"/>
    <s v="External - Legal"/>
    <s v="5"/>
    <s v="3"/>
    <s v="Severe"/>
    <s v="Reduce"/>
    <s v="Participate in regulatory development processes, implement a compliance monitoring system, and adapt projects proactively to meet new standards_x000a_Implement milestones and clauses on the viabilty changes, and change the specification around what is implemented on legislation changes"/>
    <s v="Osama Shoush"/>
    <n v="3"/>
    <n v="1"/>
    <s v=""/>
    <s v="Minor"/>
    <s v="Accept"/>
    <s v="Managed"/>
    <m/>
    <m/>
    <m/>
    <m/>
    <m/>
    <m/>
    <n v="15000000"/>
    <s v=""/>
    <s v=""/>
    <n v="5000000"/>
    <n v="0.2"/>
    <n v="1000000"/>
    <s v=""/>
    <s v=""/>
  </r>
  <r>
    <m/>
    <s v="Closed - PR_0061"/>
    <s v="Future Programme 2026+"/>
    <x v="7"/>
    <s v="Strategic Objectives &amp; Adaptability"/>
    <m/>
    <s v="If the initial sites selected for the future programme are not approved the delivery of the future homes programme is at risk., This will potentially result in legal and regulatory issues, and financial implications, due to delays."/>
    <s v="Stuart Davis"/>
    <s v="Internal - Approach"/>
    <m/>
    <m/>
    <s v=""/>
    <m/>
    <s v="Conduct site surveys to inform individual site viability._x000a_Conduct extensive due diligence to assess legal, environmental and logistical challenges associated with the site._x000a_Early and ongoing engage with both internal and external stakeholders._x000a_Review other sites that could fall into the future programme._x000a_"/>
    <s v="Multiple"/>
    <m/>
    <m/>
    <s v=""/>
    <m/>
    <m/>
    <s v="Closed"/>
    <m/>
    <m/>
    <m/>
    <d v="2025-01-20T00:00:00"/>
    <s v="SD"/>
    <m/>
    <m/>
    <s v=""/>
    <s v=""/>
    <m/>
    <s v=""/>
    <s v=""/>
    <s v=""/>
    <s v=""/>
  </r>
  <r>
    <m/>
    <s v="Closed - PR_0062"/>
    <s v="Future Programme 2026+"/>
    <x v="7"/>
    <s v="Strategic Objectives &amp; Adaptability"/>
    <m/>
    <s v="If the challenges in developing a viable lotting strategy that adapts to market and financial conditions continues to cause difficulties in attracting developers or investors,  there is a risk of them cherry-picking, causing delays to project initiation, reduced flexibility in project development, and potential financial losses. "/>
    <s v="Stuart Davis"/>
    <s v="Internal - Approach"/>
    <m/>
    <m/>
    <s v=""/>
    <m/>
    <s v="Create adaptable lotting plans that can be adjusted based on the changing market and financial conditions with sign off points. _x000a_Work with industry experts to design lotting strategies that align with the council's housing development commitment and financial viability for the future programme 2026. _x000a_Further review once responses have been received from soft market testing to see if an alternative strategy needs to be pursued to prevent cherry-picking sites."/>
    <s v="Multiple"/>
    <m/>
    <m/>
    <s v="Insignificant"/>
    <m/>
    <m/>
    <s v="Closed"/>
    <m/>
    <m/>
    <m/>
    <d v="2025-01-20T00:00:00"/>
    <s v="SD"/>
    <m/>
    <m/>
    <s v=""/>
    <s v=""/>
    <m/>
    <s v=""/>
    <s v=""/>
    <s v=""/>
    <s v=""/>
  </r>
  <r>
    <m/>
    <s v="PR_0063"/>
    <s v="Overall Programme"/>
    <x v="0"/>
    <s v="Building Control &amp; Safety Compliance"/>
    <d v="2024-08-01T00:00:00"/>
    <s v="If we fail to comply with public sector regulations, including building codes and development agreements, there is a risk of the council being in breach of its legal obligations, potentially resulting in legal action, financial penalties and reputational damage."/>
    <s v="Stuart Davis"/>
    <s v="Internal - Organisaton"/>
    <n v="5"/>
    <s v="2"/>
    <s v="Severe"/>
    <s v="Reduce"/>
    <s v="Maintain working closely with legal, compliance and building safety teams, conduct regular audit and training sessions to upskill the project team"/>
    <s v="Osama Shoush"/>
    <n v="2"/>
    <n v="1"/>
    <s v="Major"/>
    <s v="Insignificant"/>
    <s v="Accept"/>
    <s v="Managed"/>
    <m/>
    <m/>
    <m/>
    <m/>
    <m/>
    <m/>
    <n v="100000000"/>
    <s v=""/>
    <s v=""/>
    <n v="40000000"/>
    <n v="0.2"/>
    <n v="8000000"/>
    <s v=""/>
    <s v=""/>
  </r>
  <r>
    <m/>
    <s v="PR_0064"/>
    <s v="Future Programme 2026+"/>
    <x v="7"/>
    <s v="Strategic Objectives &amp; Adaptability"/>
    <d v="2024-08-01T00:00:00"/>
    <s v="If we cannot balance the council's housing tenure mix commitments with making schemes viable and attractive for developers, there is a risk of not be able to deliver the programme._x000a_"/>
    <s v="Stuart Davis"/>
    <s v="Internal - Approach"/>
    <n v="5"/>
    <s v="3"/>
    <s v="Severe"/>
    <s v="Reduce"/>
    <s v="Plan a mix of tenure types and proportions early in the planning process to cater to various demographic needs on different sites._x000a_Stay updated on changes to housing policy and adjust the programme plan accordingly, with milestones built in to update politicians and planners. Secure political buy-in and understanding of the constraints._x000a_Work closely with planners on strategy going forward, including pre-apps._x000a_Maximise our funding options by exploring all potential funding sources."/>
    <s v="Zoe Davies"/>
    <n v="3"/>
    <n v="3"/>
    <s v="Major"/>
    <s v="Minor"/>
    <s v="Review"/>
    <s v="Mitigated"/>
    <m/>
    <m/>
    <m/>
    <m/>
    <m/>
    <m/>
    <n v="5"/>
    <s v=""/>
    <s v=""/>
    <n v="3"/>
    <n v="0.6"/>
    <n v="1.7999999999999998"/>
    <s v=""/>
    <s v=""/>
  </r>
  <r>
    <m/>
    <s v="PR_0065"/>
    <s v="Future Programme 2026+"/>
    <x v="7"/>
    <s v="Strategic Objectives &amp; Adaptability"/>
    <d v="2024-08-01T00:00:00"/>
    <s v="If the policy for a portfolio approach is not supported by planning, there is a risk that the smaller sites within the future homes programme will not be viable."/>
    <s v="Stuart Davis"/>
    <s v="Internal - Approach"/>
    <s v="4"/>
    <s v="3"/>
    <s v="Major"/>
    <s v="Reduce"/>
    <s v="Maintain working closely with planning, policy and operational teams to deliver a compliant mix, including the GLA._x000a_Consider formally submitting a consultation response to the emerging Affordable Housing SPD that requests acknowledgment of a portfolio approach."/>
    <s v="Zoe Davies"/>
    <n v="3"/>
    <n v="3"/>
    <s v="Minor"/>
    <s v="Minor"/>
    <s v="Review"/>
    <s v="Mitigated"/>
    <m/>
    <m/>
    <m/>
    <m/>
    <m/>
    <m/>
    <n v="10000000"/>
    <s v=""/>
    <s v=""/>
    <n v="5000000"/>
    <n v="0.6"/>
    <n v="3000000"/>
    <s v=""/>
    <s v=""/>
  </r>
  <r>
    <m/>
    <s v="PR_0066"/>
    <s v="Future Programme 2026+"/>
    <x v="2"/>
    <s v="Programme Delivery Excellence"/>
    <d v="2024-08-01T00:00:00"/>
    <s v="If Southwark are in breach of any element of the DA contract, there would be associated financial penalties, would could deem the scheme unviable. Potential reputational damage as a result of the breach.  "/>
    <s v="Stuart Davis"/>
    <s v="External - Legal"/>
    <s v="4"/>
    <s v="3"/>
    <s v="Major"/>
    <s v="Reduce"/>
    <s v="Controls in place to ensure full understanding of DA obligations and triggers for a breach of contract. Training for all PM's on obligations under DA._x000a_Close monitoring of the contracts throughout."/>
    <s v="Margaret Burrell"/>
    <n v="3"/>
    <n v="1"/>
    <s v="Moderate"/>
    <s v="Minor"/>
    <s v="Accept"/>
    <s v="Mitigated"/>
    <m/>
    <m/>
    <m/>
    <m/>
    <m/>
    <m/>
    <n v="100000000"/>
    <s v=""/>
    <s v=""/>
    <n v="80000000"/>
    <n v="0.2"/>
    <n v="16000000"/>
    <s v=""/>
    <s v=""/>
  </r>
  <r>
    <m/>
    <s v="PR_0067"/>
    <s v="Future Programme 2026+"/>
    <x v="7"/>
    <s v="Strategic Objectives &amp; Adaptability"/>
    <d v="2024-08-01T00:00:00"/>
    <s v="If the council adopts a portfolio approach across different wards in the future programme, there is a risk of Judicial Review, which could potentially attract further scrutiny as this is a new concept."/>
    <s v="Stuart Davis"/>
    <s v="Internal - Approach"/>
    <s v="4"/>
    <s v="3"/>
    <s v="Major"/>
    <s v="Reduce"/>
    <s v="Utilise a planning consultant to advise on the appropriate strategy. Seek legal advice on how to approach and whether additional measures are required up front._x000a_Work closely with the Cabinet Member and Ward Councillors on cross-ward developments to manage priorities and expectations."/>
    <s v="Zoe Davies"/>
    <n v="3"/>
    <n v="2"/>
    <s v=""/>
    <s v="Minor"/>
    <s v="Review"/>
    <s v="Mitigated"/>
    <m/>
    <m/>
    <m/>
    <m/>
    <m/>
    <m/>
    <n v="10000000"/>
    <s v=""/>
    <s v=""/>
    <n v="5000000"/>
    <n v="0.4"/>
    <n v="2000000"/>
    <s v=""/>
    <s v=""/>
  </r>
  <r>
    <m/>
    <s v="Closed - PR_0068"/>
    <s v="Overall Programme"/>
    <x v="2"/>
    <s v="Programme Delivery Excellence"/>
    <m/>
    <s v="If there is a delay to the approval (taken by Cabinet) for the extension of SELCHP then this will have significant time and cost implications for the Tustin and Ledbury schemes (and also potentially Sceaux Gardens). Further delays would escalate costs for temporary boilers and potentially lead to delay in completing S278 works too."/>
    <s v="Strategic Director"/>
    <s v="Internal - Approach"/>
    <m/>
    <m/>
    <s v=""/>
    <m/>
    <s v="Consider whether to borrow some contingency money (£10M available in contingency to borrow as long as we know we can get it back) for this specifically in regard to Tustin as it puts the overall project at risk and Veolia are unwilling to fund pre-installation works_x000a_Install temporary boilers at Tustin to cover the period leading up to the long-stop date of August 2025. Temporary boilers ordered for Tustin between January-October 2025._x000a_As Ledbury does not have a gas supply the alternative will be to use the oil supply to cover interim heating solutions there._x000a_Utilise the existing gas supply at Sceaux Gardens to cover any interim periods until the network reaches there (it is the end of the line)."/>
    <s v="Zoe Davies"/>
    <m/>
    <m/>
    <s v=""/>
    <m/>
    <m/>
    <s v="Closed"/>
    <m/>
    <m/>
    <m/>
    <d v="2025-08-27T00:00:00"/>
    <s v="PMO (SW/AB)"/>
    <m/>
    <n v="0"/>
    <s v=""/>
    <s v=""/>
    <n v="0"/>
    <s v=""/>
    <s v=""/>
    <s v=""/>
    <s v=""/>
  </r>
  <r>
    <m/>
    <s v="Closed - PR_0069"/>
    <s v="Overall Programme"/>
    <x v="5"/>
    <s v="Stakeholder Relations &amp; Reputation"/>
    <m/>
    <s v="If we do not have a strong after-sales and long term management strategy for shared ownership and private sales properies there is a risk that homes won't sell easily and that homeowner satifaction will be low, resulting in ongoing complaints and long-term reputational damage to the council."/>
    <s v="Strategic Director"/>
    <s v="Internal - Organisaton"/>
    <m/>
    <m/>
    <s v=""/>
    <m/>
    <s v="Appoint a strategic Lead for Aftercare and scope the potential aftercare services that can/will be managed within the Southwark Construction team._x000a_Consider the use of a management company for private and SO homes, potentially an internal departmental 'company'."/>
    <s v="Multiple"/>
    <m/>
    <m/>
    <s v=""/>
    <m/>
    <m/>
    <s v="Closed"/>
    <m/>
    <m/>
    <m/>
    <d v="2025-08-27T00:00:00"/>
    <s v="PMO (SW/AB)"/>
    <m/>
    <n v="0"/>
    <s v=""/>
    <s v=""/>
    <n v="0"/>
    <s v=""/>
    <s v=""/>
    <s v=""/>
    <s v=""/>
  </r>
  <r>
    <m/>
    <s v="Closed - PR_0070"/>
    <s v="Overall Programme"/>
    <x v="1"/>
    <s v="Resource &amp; Capability Adequacy"/>
    <m/>
    <s v="If we do not have the knowledge and skills in the team to implement the sales and marketing strategy for shared ownership and private sale homes in the programme then the council will not maximise the income potential and it will affect the council's reputation as a good developer"/>
    <s v="Stuart Davis"/>
    <s v="Internal - Organisaton"/>
    <m/>
    <m/>
    <s v=""/>
    <m/>
    <s v="Ensure that staff are equipped with the knowledge and skills needed"/>
    <s v="Strategic Leads"/>
    <m/>
    <m/>
    <s v=""/>
    <m/>
    <m/>
    <s v="Closed"/>
    <m/>
    <m/>
    <m/>
    <d v="2025-08-27T00:00:00"/>
    <s v="PMO (SW/AB)"/>
    <m/>
    <n v="0"/>
    <s v=""/>
    <s v=""/>
    <n v="0"/>
    <s v=""/>
    <s v=""/>
    <s v=""/>
    <s v=""/>
  </r>
  <r>
    <m/>
    <s v="Closed - PR_0071"/>
    <s v="Overall Programme"/>
    <x v="1"/>
    <s v="Resource &amp; Capability Adequacy"/>
    <m/>
    <s v="If we do not have the capacity or skills to effectively provide aftercare to residents during the defects period there is a reputational risk to Southwark Construction and the council. This risk is increased where the homes have been sold as shared ownership or in totality."/>
    <s v="Stuart Davis"/>
    <s v="Internal - Team"/>
    <m/>
    <m/>
    <s v=""/>
    <m/>
    <s v=" - Establish an approach to aftercare during the defects period and handover to mainstream council services at the end of the DLP_x000a_- Explore options available in the market to provide defects triage and support_x000a_- Continue stakeholder engagement with teams across the council in advance of starting the future programme - to establish parameters around service charges, 'segregated' spaces in mixed tenure developments, ongoing maintenance (particularly of new green technology) etc._x000a_- Implement the new sales and marketing strategy, which incorporates an approach to the management of shared ownership homes in partnership with the council's home ownership team."/>
    <s v="Zoe Davies"/>
    <m/>
    <m/>
    <s v=""/>
    <m/>
    <m/>
    <s v="Closed"/>
    <m/>
    <m/>
    <m/>
    <d v="2025-08-27T00:00:00"/>
    <s v="PMO (SW/AB)"/>
    <m/>
    <n v="0"/>
    <s v=""/>
    <s v=""/>
    <n v="0"/>
    <s v=""/>
    <s v=""/>
    <s v=""/>
    <s v=""/>
  </r>
  <r>
    <m/>
    <s v="Closed - PR_0072"/>
    <s v="Future Programme 2026+"/>
    <x v="0"/>
    <s v="Building Control &amp; Safety Compliance"/>
    <m/>
    <s v="There is uncertainty around the Building Safety Act Gateways and the potential delays that could occur as a result, which could impact our ability to complete schemes within the timeframes set."/>
    <s v="Stuart Davis"/>
    <s v="External - Legal"/>
    <m/>
    <m/>
    <s v=""/>
    <m/>
    <s v=" - Monitor schemes and gain market intel from our contractors and consultants_x000a_-  Conduct research with peers, reviewing the first schemes to go through this regime"/>
    <s v="Multiple"/>
    <m/>
    <m/>
    <s v="Moderate"/>
    <m/>
    <m/>
    <s v="Closed"/>
    <m/>
    <m/>
    <m/>
    <d v="2025-08-27T00:00:00"/>
    <s v="PMO (SW/AB)"/>
    <m/>
    <n v="0"/>
    <s v=""/>
    <s v=""/>
    <n v="0"/>
    <s v=""/>
    <s v=""/>
    <s v=""/>
    <s v=""/>
  </r>
  <r>
    <m/>
    <s v="PR_0073"/>
    <s v="Future Programme 2026+"/>
    <x v="2"/>
    <s v="Programme Delivery Excellence"/>
    <d v="2025-02-01T00:00:00"/>
    <s v="If the requirements of the Council's energy strategy are not incorporated into the early design and concept stages of new projects there is a risk that those targets will not be achieved at a reasonable cost level."/>
    <s v="Strategic Director"/>
    <s v="Internal - Organisaton"/>
    <n v="4"/>
    <n v="3"/>
    <s v="Major"/>
    <s v="Reduce"/>
    <s v="Ensure selected sites are checked in line with the council's communal heating planned preventative maintenance plan. Review targets and costs at early project stages to ensure commitment levels are achievable."/>
    <s v="Margaret Burrell"/>
    <n v="3"/>
    <n v="2"/>
    <s v=""/>
    <s v="Minor"/>
    <s v="Review"/>
    <s v="Mitigated"/>
    <m/>
    <m/>
    <m/>
    <m/>
    <m/>
    <m/>
    <n v="10000000"/>
    <n v="0.6"/>
    <n v="6000000"/>
    <n v="5000000"/>
    <n v="0.4"/>
    <n v="2000000"/>
    <n v="4000000"/>
    <n v="0.66666666666666663"/>
  </r>
  <r>
    <m/>
    <s v="Closed - PR_0074"/>
    <s v="Overall Programme"/>
    <x v="3"/>
    <s v="Programme Financial Sustainability"/>
    <m/>
    <s v="Increases in build costs and the increased dependency on external financing mechanisms presents a risk to our ability to deliver new homes."/>
    <s v="Strategic Director"/>
    <s v="Internal - Resource"/>
    <m/>
    <m/>
    <s v=""/>
    <m/>
    <s v="Conduct an ER cost review to establish a high quality spec that fits that is affordable._x000a_Benchmark market costs._x000a_Continue to explore alternative funding sources, including government grants, public-private partnerships, and long-term financial instruments._x000a_Ensure the tenure mix is balanced to maximise income."/>
    <s v="Strategic Leads"/>
    <m/>
    <m/>
    <s v="Major"/>
    <m/>
    <m/>
    <s v="Closed"/>
    <m/>
    <m/>
    <m/>
    <d v="2025-08-27T00:00:00"/>
    <s v="PMO (SW/AB)"/>
    <m/>
    <n v="0"/>
    <s v=""/>
    <s v=""/>
    <n v="0"/>
    <s v=""/>
    <s v=""/>
    <s v=""/>
    <s v=""/>
  </r>
  <r>
    <m/>
    <s v="PR_0075"/>
    <s v="Overall Programme"/>
    <x v="3"/>
    <s v="Programme Financial Sustainability"/>
    <d v="2025-02-01T00:00:00"/>
    <s v="Fluctuations in property prices present a risk to the financial viability of units built for shared ownership and private sale "/>
    <s v="Stuart Davis"/>
    <s v="External - Economic"/>
    <n v="4"/>
    <n v="3"/>
    <s v="Major"/>
    <s v="Reduce"/>
    <s v="Closely monitor market conditions and use for strategy development."/>
    <s v="Hemali Topiwala"/>
    <n v="3"/>
    <n v="3"/>
    <s v=""/>
    <s v="Major"/>
    <s v="Accept"/>
    <s v="Open"/>
    <m/>
    <m/>
    <m/>
    <m/>
    <m/>
    <m/>
    <n v="100000000"/>
    <n v="0.6"/>
    <n v="60000000"/>
    <n v="80000000"/>
    <n v="0.6"/>
    <n v="48000000"/>
    <n v="12000000"/>
    <n v="0.2"/>
  </r>
  <r>
    <m/>
    <s v="Closed - PR_0076"/>
    <s v="Future Programme 2026+"/>
    <x v="2"/>
    <s v="Programme Delivery Excellence"/>
    <m/>
    <s v="If the initial lots are not successful at tender, potentially due to the appeal of the sites that have been included, there is a risk is that we do not meet the council delivery targets."/>
    <s v="Stuart Davis"/>
    <s v="External - Economic"/>
    <m/>
    <m/>
    <s v=""/>
    <m/>
    <s v="Review location of sites and sales values in those areas to confirm whether they are the right sites."/>
    <s v="Future Programme Team"/>
    <m/>
    <m/>
    <s v="Major"/>
    <m/>
    <m/>
    <s v="Closed"/>
    <m/>
    <m/>
    <m/>
    <d v="2025-08-27T00:00:00"/>
    <s v="PMO (SW/AB)"/>
    <m/>
    <n v="0"/>
    <s v=""/>
    <s v=""/>
    <n v="0"/>
    <s v=""/>
    <s v=""/>
    <s v=""/>
    <s v=""/>
  </r>
  <r>
    <m/>
    <s v="PR_0077"/>
    <s v="Overall Programme"/>
    <x v="7"/>
    <s v="Strategic Objectives &amp; Adaptability"/>
    <d v="2025-02-01T00:00:00"/>
    <s v="Financial constraints mean that more flexibility is needed to make the Southwark Construction programme viable. If Southwark Planning are not aligned with the council's home-building strategy and are not willing to afford us more flexibility there is a risk of delay or non-viability across the programme."/>
    <s v="Strategic Director"/>
    <s v="Internal - Mission"/>
    <n v="4"/>
    <n v="4"/>
    <s v="Severe"/>
    <s v="Reduce"/>
    <s v="Get senior management and political buy-in to support flexibility in the planning process and communicate the constraints at all levels."/>
    <s v="Zoe Davies"/>
    <n v="4"/>
    <n v="3"/>
    <s v=""/>
    <s v="Minor"/>
    <s v="Review"/>
    <s v="Mitigated"/>
    <m/>
    <m/>
    <m/>
    <m/>
    <m/>
    <m/>
    <n v="10000000"/>
    <n v="0.8"/>
    <n v="8000000"/>
    <n v="10000000"/>
    <n v="0.6"/>
    <n v="6000000"/>
    <n v="2000000"/>
    <n v="0.25"/>
  </r>
  <r>
    <m/>
    <s v="Closed - PR_0078"/>
    <s v="Overall Programme"/>
    <x v="3"/>
    <s v="Programme Financial Sustainability"/>
    <m/>
    <s v="There is a risk that we will be unable to revive our paused schemes, or take new schemes forward at pace, due to our limited funding opportunities."/>
    <s v="Stuart Davis"/>
    <s v="Internal - Resource"/>
    <m/>
    <m/>
    <s v=""/>
    <m/>
    <s v="Model the various funding opportunities (GLA, RTB, S106) to maximise opportunities for the programme._x000a_Meet with Planning colleagues to understand the S106 pipleine and discuss how we can access future S106 contributions to support the programme."/>
    <s v="Multiple"/>
    <m/>
    <m/>
    <s v=""/>
    <m/>
    <m/>
    <s v="Closed"/>
    <m/>
    <m/>
    <m/>
    <d v="2025-08-27T00:00:00"/>
    <s v="PMO (SW/AB)"/>
    <m/>
    <n v="0"/>
    <s v=""/>
    <s v=""/>
    <n v="0"/>
    <s v=""/>
    <s v=""/>
    <s v=""/>
    <s v=""/>
  </r>
  <r>
    <m/>
    <s v="Closed - PR_0079"/>
    <s v="Overall Programme"/>
    <x v="1"/>
    <s v="Resource &amp; Capability Adequacy"/>
    <m/>
    <s v="The dedicated estate renewal rehousing team has been disbanded. This resource gap presents a risk to our ability to achieve vacant possession, which is required to meet our phasing dates."/>
    <s v="Strategic Director"/>
    <s v="Internal - Resource"/>
    <m/>
    <m/>
    <s v=""/>
    <m/>
    <s v="Consider appointing dedicated resource within the Southwark Construction team to fill this gap."/>
    <s v="Stuart Davis"/>
    <m/>
    <m/>
    <s v=""/>
    <m/>
    <m/>
    <s v="Closed"/>
    <m/>
    <m/>
    <m/>
    <d v="2025-08-27T00:00:00"/>
    <s v="PMO (SW/AB)"/>
    <m/>
    <n v="0"/>
    <s v=""/>
    <s v=""/>
    <n v="0"/>
    <s v=""/>
    <s v=""/>
    <s v=""/>
    <s v=""/>
  </r>
  <r>
    <m/>
    <s v="Closed - PR_0080"/>
    <s v="Future Programme 2026+"/>
    <x v="7"/>
    <s v="Strategic Objectives &amp; Adaptability"/>
    <m/>
    <s v="If political pressure to meet our targets is the main driver for getting into contract for future schemes, we risk not conducting sufficient due diligence and having a programme that is adequately planned or costed, resulting in signifcant overruns and budgetary pressures._x000a_"/>
    <s v="Strategic Director"/>
    <s v="Internal - Approach"/>
    <m/>
    <m/>
    <s v=""/>
    <s v="Reduce"/>
    <s v="Conduct a lessons learnt exercise to review the 2500 programme, specifically the effect of the pace of delivery._x000a_Build a stock of potential sites into a rolling programme plan."/>
    <s v="Stuart Davis"/>
    <m/>
    <m/>
    <s v=""/>
    <m/>
    <m/>
    <s v="Closed"/>
    <m/>
    <m/>
    <m/>
    <d v="2025-08-27T00:00:00"/>
    <s v="PMO (SW/AB)"/>
    <m/>
    <n v="0"/>
    <s v=""/>
    <s v=""/>
    <n v="0"/>
    <s v=""/>
    <s v=""/>
    <s v=""/>
    <s v=""/>
  </r>
  <r>
    <m/>
    <s v="PR_0081"/>
    <s v="Pre 2026 Programme"/>
    <x v="2"/>
    <s v="Programme Delivery Excellence"/>
    <m/>
    <s v="If practical completion dates continue to shift on sites with properties for sale buyers may withdraw or incur additional costs, affecting our sales pipeline and revenue forecast"/>
    <s v="Strategic Director"/>
    <s v="External - Economic"/>
    <m/>
    <m/>
    <s v=""/>
    <m/>
    <s v="Proactively engage buyers; provide regular updates; offer financial support for mortgage extension fees; prepare contingency fund for reimbursements"/>
    <s v="Margaret Burrell"/>
    <m/>
    <m/>
    <s v=""/>
    <m/>
    <m/>
    <s v="Closed"/>
    <m/>
    <m/>
    <m/>
    <d v="2025-08-27T00:00:00"/>
    <s v="PMO (SW/AB)"/>
    <m/>
    <n v="0"/>
    <s v=""/>
    <s v=""/>
    <n v="0"/>
    <s v=""/>
    <s v=""/>
    <s v=""/>
    <s v=""/>
  </r>
  <r>
    <m/>
    <s v="Closed - PR_0082"/>
    <s v="Pre 2026 Programme"/>
    <x v="5"/>
    <s v="Stakeholder Relations &amp; Reputation"/>
    <m/>
    <s v="If schemes continue to be delayed there is a risk of erosion of trust in the council resulting in reputational damage"/>
    <s v="Strategic Director"/>
    <s v="External - Economic"/>
    <m/>
    <m/>
    <s v=""/>
    <m/>
    <s v="Publish a transparent timeline with clear milestones; issue formal apologies and explanations where delays occur"/>
    <s v="Stuart Davis"/>
    <m/>
    <m/>
    <s v=""/>
    <m/>
    <m/>
    <s v="Closed"/>
    <m/>
    <m/>
    <m/>
    <d v="2025-08-27T00:00:00"/>
    <s v="PMO (SW/AB)"/>
    <m/>
    <n v="0"/>
    <s v=""/>
    <s v=""/>
    <n v="0"/>
    <s v=""/>
    <s v=""/>
    <s v=""/>
    <s v=""/>
  </r>
  <r>
    <m/>
    <s v="Closed - PR_0083"/>
    <s v="Pre 2026 Programme"/>
    <x v="2"/>
    <s v="Programme Delivery Excellence"/>
    <m/>
    <s v="If we continue to see delays to S278 works there is a risk of delay to access and infrastructure readiness"/>
    <s v="Strategic Director"/>
    <s v="External - Legal"/>
    <m/>
    <m/>
    <s v=""/>
    <m/>
    <s v="Fast-track legal signatures; coordinate closely with Highways for permit reactivation"/>
    <s v="Multiple"/>
    <m/>
    <m/>
    <s v=""/>
    <m/>
    <m/>
    <s v="Closed"/>
    <m/>
    <m/>
    <m/>
    <d v="2025-08-27T00:00:00"/>
    <s v="PMO (SW/AB)"/>
    <m/>
    <n v="0"/>
    <s v=""/>
    <s v=""/>
    <n v="0"/>
    <s v=""/>
    <s v=""/>
    <s v=""/>
    <s v=""/>
  </r>
  <r>
    <m/>
    <s v="Closed - PR_0084"/>
    <s v="Future Programme 2026+"/>
    <x v="2"/>
    <s v="Programme Delivery Excellence"/>
    <m/>
    <s v="If there are delays in starting the DA package sites there is a risk of significant impact on programme delivery and costs."/>
    <s v="Stuart Davis"/>
    <s v="Internal - Organisaton"/>
    <m/>
    <m/>
    <s v=""/>
    <m/>
    <s v="Review DA packages readiness weekly._x000a_Escalate delayed packages to senior leadership. _x000a_Develop mitigation plan for site start acceleration and resource allocation."/>
    <s v="Strategic Leads"/>
    <m/>
    <m/>
    <s v=""/>
    <m/>
    <m/>
    <s v="Closed"/>
    <m/>
    <m/>
    <m/>
    <d v="2025-08-27T00:00:00"/>
    <s v="PMO (SW/AB)"/>
    <m/>
    <n v="0"/>
    <s v=""/>
    <s v=""/>
    <n v="0"/>
    <s v=""/>
    <s v=""/>
    <s v=""/>
    <s v=""/>
  </r>
  <r>
    <m/>
    <s v="Closed - PR_0085"/>
    <s v="Pre 2026 Programme"/>
    <x v="2"/>
    <s v="Programme Delivery Excellence"/>
    <m/>
    <s v="If multiple workstreams in our current delivery programme continue to show orange/red progress, there is a risk of programme slippage, impacting timelines and costs."/>
    <s v="Stuart Davis"/>
    <s v="Internal - Resource"/>
    <m/>
    <m/>
    <s v=""/>
    <m/>
    <s v="Strengthen programme controls &amp; reporting. _x000a_Introduce critical path monitoring &amp; weekly review meetings. _x000a_Escalate persistent delays to Programme Board for intervention."/>
    <s v="Strategic Leads"/>
    <m/>
    <m/>
    <s v=""/>
    <m/>
    <m/>
    <s v="Closed"/>
    <m/>
    <m/>
    <m/>
    <d v="2025-08-27T00:00:00"/>
    <s v="PMO (SW/AB)"/>
    <m/>
    <n v="0"/>
    <s v=""/>
    <s v=""/>
    <n v="0"/>
    <s v=""/>
    <s v=""/>
    <s v=""/>
    <s v=""/>
  </r>
  <r>
    <m/>
    <s v="Closed - PR_0086"/>
    <s v="Overall Programme"/>
    <x v="3"/>
    <s v="Programme Financial Sustainability"/>
    <m/>
    <s v="Rental loss due to social rent homes not being let out for some time after PC."/>
    <s v="Strategic Director"/>
    <s v="Internal - Resource"/>
    <m/>
    <m/>
    <s v=""/>
    <m/>
    <m/>
    <m/>
    <m/>
    <m/>
    <s v="Major"/>
    <m/>
    <m/>
    <s v="Closed"/>
    <m/>
    <m/>
    <m/>
    <d v="2025-08-27T00:00:00"/>
    <s v="PMO (SW/AB)"/>
    <m/>
    <n v="0"/>
    <s v=""/>
    <s v=""/>
    <n v="0"/>
    <s v=""/>
    <s v=""/>
    <s v=""/>
    <s v=""/>
  </r>
  <r>
    <m/>
    <s v="PR_0087"/>
    <s v="Future Programme 2026+"/>
    <x v="7"/>
    <s v="Strategic Objectives &amp; Adaptability"/>
    <d v="2026-01-01T00:00:00"/>
    <s v="If lease conditions and contract precedent requirements in upcoming schemes are not completed in a timely manner there is a risk that site possession by developers will be delayed, leading to extended security and holding costs that place significant pressure on the programme budget."/>
    <s v="Stuart Davis"/>
    <s v="Internal - Team"/>
    <n v="3"/>
    <n v="5"/>
    <s v="Severe"/>
    <s v="Reduce"/>
    <s v="Develop clear, site specific programme that sequence all lease and contract precedent requirements; actively monitor progress against these programmes; account for site security and holding costs within financial forecasts. Escalate slippage early to ensure budget pressures are identified and addressed before they impact overall programme viability."/>
    <s v="Zoe Davies"/>
    <n v="3"/>
    <n v="4"/>
    <s v=""/>
    <s v="Minor"/>
    <s v="Review"/>
    <s v="Open"/>
    <m/>
    <m/>
    <m/>
    <m/>
    <m/>
    <m/>
    <n v="3000000"/>
    <n v="1"/>
    <n v="3000000"/>
    <n v="3000000"/>
    <n v="0.8"/>
    <n v="2400000"/>
    <n v="600000"/>
    <n v="0.2"/>
  </r>
  <r>
    <m/>
    <s v=""/>
    <m/>
    <x v="9"/>
    <m/>
    <m/>
    <m/>
    <m/>
    <m/>
    <m/>
    <m/>
    <s v=""/>
    <m/>
    <m/>
    <m/>
    <m/>
    <m/>
    <s v=""/>
    <m/>
    <m/>
    <m/>
    <m/>
    <m/>
    <m/>
    <m/>
    <m/>
    <m/>
    <m/>
    <m/>
    <n v="0"/>
    <m/>
    <m/>
    <n v="0"/>
    <n v="0"/>
    <s v=""/>
  </r>
  <r>
    <m/>
    <s v=""/>
    <m/>
    <x v="9"/>
    <m/>
    <m/>
    <m/>
    <m/>
    <m/>
    <m/>
    <m/>
    <s v=""/>
    <m/>
    <m/>
    <m/>
    <m/>
    <m/>
    <s v=""/>
    <m/>
    <m/>
    <m/>
    <m/>
    <m/>
    <m/>
    <m/>
    <m/>
    <m/>
    <m/>
    <m/>
    <n v="0"/>
    <m/>
    <m/>
    <n v="0"/>
    <n v="0"/>
    <s v=""/>
  </r>
  <r>
    <m/>
    <s v=""/>
    <m/>
    <x v="9"/>
    <m/>
    <m/>
    <m/>
    <m/>
    <m/>
    <m/>
    <m/>
    <s v=""/>
    <m/>
    <m/>
    <m/>
    <m/>
    <m/>
    <s v=""/>
    <m/>
    <m/>
    <m/>
    <m/>
    <m/>
    <m/>
    <m/>
    <m/>
    <m/>
    <m/>
    <m/>
    <n v="0"/>
    <m/>
    <m/>
    <n v="0"/>
    <n v="0"/>
    <s v=""/>
  </r>
  <r>
    <m/>
    <s v=""/>
    <m/>
    <x v="9"/>
    <m/>
    <m/>
    <m/>
    <m/>
    <m/>
    <m/>
    <m/>
    <s v=""/>
    <m/>
    <m/>
    <m/>
    <m/>
    <m/>
    <s v=""/>
    <m/>
    <m/>
    <m/>
    <m/>
    <m/>
    <m/>
    <m/>
    <m/>
    <m/>
    <m/>
    <m/>
    <n v="0"/>
    <m/>
    <m/>
    <n v="0"/>
    <n v="0"/>
    <s v=""/>
  </r>
  <r>
    <m/>
    <s v=""/>
    <m/>
    <x v="9"/>
    <m/>
    <m/>
    <m/>
    <m/>
    <m/>
    <m/>
    <m/>
    <s v=""/>
    <m/>
    <m/>
    <m/>
    <m/>
    <m/>
    <s v=""/>
    <m/>
    <m/>
    <m/>
    <m/>
    <m/>
    <m/>
    <m/>
    <m/>
    <m/>
    <m/>
    <m/>
    <n v="0"/>
    <m/>
    <m/>
    <n v="0"/>
    <n v="0"/>
    <s v=""/>
  </r>
  <r>
    <m/>
    <s v=""/>
    <m/>
    <x v="9"/>
    <m/>
    <m/>
    <m/>
    <m/>
    <m/>
    <m/>
    <m/>
    <s v=""/>
    <m/>
    <m/>
    <m/>
    <m/>
    <m/>
    <s v=""/>
    <m/>
    <m/>
    <m/>
    <m/>
    <m/>
    <m/>
    <m/>
    <m/>
    <m/>
    <m/>
    <m/>
    <n v="0"/>
    <m/>
    <m/>
    <n v="0"/>
    <n v="0"/>
    <s v=""/>
  </r>
  <r>
    <m/>
    <s v=""/>
    <m/>
    <x v="9"/>
    <m/>
    <m/>
    <m/>
    <m/>
    <m/>
    <m/>
    <m/>
    <s v=""/>
    <m/>
    <m/>
    <m/>
    <m/>
    <m/>
    <s v=""/>
    <m/>
    <m/>
    <m/>
    <m/>
    <m/>
    <m/>
    <m/>
    <m/>
    <m/>
    <m/>
    <m/>
    <n v="0"/>
    <m/>
    <m/>
    <n v="0"/>
    <n v="0"/>
    <s v=""/>
  </r>
  <r>
    <m/>
    <s v=""/>
    <m/>
    <x v="9"/>
    <m/>
    <m/>
    <m/>
    <m/>
    <m/>
    <m/>
    <m/>
    <s v=""/>
    <m/>
    <m/>
    <m/>
    <m/>
    <m/>
    <s v=""/>
    <m/>
    <m/>
    <m/>
    <m/>
    <m/>
    <m/>
    <m/>
    <m/>
    <m/>
    <m/>
    <m/>
    <n v="0"/>
    <m/>
    <m/>
    <n v="0"/>
    <n v="0"/>
    <s v=""/>
  </r>
  <r>
    <m/>
    <s v=""/>
    <m/>
    <x v="9"/>
    <m/>
    <m/>
    <m/>
    <m/>
    <m/>
    <m/>
    <m/>
    <s v=""/>
    <m/>
    <m/>
    <m/>
    <m/>
    <m/>
    <s v=""/>
    <m/>
    <m/>
    <m/>
    <m/>
    <m/>
    <m/>
    <m/>
    <m/>
    <m/>
    <m/>
    <m/>
    <n v="0"/>
    <m/>
    <m/>
    <n v="0"/>
    <n v="0"/>
    <s v=""/>
  </r>
  <r>
    <m/>
    <s v=""/>
    <m/>
    <x v="9"/>
    <m/>
    <m/>
    <m/>
    <m/>
    <m/>
    <m/>
    <m/>
    <s v=""/>
    <m/>
    <m/>
    <m/>
    <m/>
    <m/>
    <s v=""/>
    <m/>
    <m/>
    <m/>
    <m/>
    <m/>
    <m/>
    <m/>
    <m/>
    <m/>
    <m/>
    <m/>
    <n v="0"/>
    <m/>
    <m/>
    <n v="0"/>
    <n v="0"/>
    <s v=""/>
  </r>
  <r>
    <m/>
    <s v=""/>
    <m/>
    <x v="9"/>
    <m/>
    <m/>
    <m/>
    <m/>
    <m/>
    <m/>
    <m/>
    <s v=""/>
    <m/>
    <m/>
    <m/>
    <m/>
    <m/>
    <s v=""/>
    <m/>
    <m/>
    <m/>
    <m/>
    <m/>
    <m/>
    <m/>
    <m/>
    <m/>
    <m/>
    <m/>
    <n v="0"/>
    <m/>
    <m/>
    <n v="0"/>
    <n v="0"/>
    <s v=""/>
  </r>
  <r>
    <m/>
    <s v=""/>
    <m/>
    <x v="9"/>
    <m/>
    <m/>
    <m/>
    <m/>
    <m/>
    <m/>
    <m/>
    <s v=""/>
    <m/>
    <m/>
    <m/>
    <m/>
    <m/>
    <s v=""/>
    <m/>
    <m/>
    <m/>
    <m/>
    <m/>
    <m/>
    <m/>
    <m/>
    <m/>
    <m/>
    <m/>
    <n v="0"/>
    <m/>
    <m/>
    <n v="0"/>
    <n v="0"/>
    <s v=""/>
  </r>
  <r>
    <m/>
    <s v=""/>
    <m/>
    <x v="9"/>
    <m/>
    <m/>
    <m/>
    <m/>
    <m/>
    <m/>
    <m/>
    <s v=""/>
    <m/>
    <m/>
    <m/>
    <m/>
    <m/>
    <s v=""/>
    <m/>
    <m/>
    <m/>
    <m/>
    <m/>
    <m/>
    <m/>
    <m/>
    <m/>
    <m/>
    <m/>
    <n v="0"/>
    <m/>
    <m/>
    <n v="0"/>
    <n v="0"/>
    <s v=""/>
  </r>
  <r>
    <m/>
    <s v=""/>
    <m/>
    <x v="9"/>
    <m/>
    <m/>
    <m/>
    <m/>
    <m/>
    <m/>
    <m/>
    <s v=""/>
    <m/>
    <m/>
    <m/>
    <m/>
    <m/>
    <s v=""/>
    <m/>
    <m/>
    <m/>
    <m/>
    <m/>
    <m/>
    <m/>
    <m/>
    <m/>
    <m/>
    <m/>
    <n v="0"/>
    <m/>
    <m/>
    <n v="0"/>
    <n v="0"/>
    <s v=""/>
  </r>
  <r>
    <m/>
    <s v=""/>
    <m/>
    <x v="9"/>
    <m/>
    <m/>
    <m/>
    <m/>
    <m/>
    <m/>
    <m/>
    <s v=""/>
    <m/>
    <m/>
    <m/>
    <m/>
    <m/>
    <s v=""/>
    <m/>
    <m/>
    <m/>
    <m/>
    <m/>
    <m/>
    <m/>
    <m/>
    <m/>
    <m/>
    <m/>
    <n v="0"/>
    <m/>
    <m/>
    <n v="0"/>
    <n v="0"/>
    <s v=""/>
  </r>
  <r>
    <m/>
    <s v=""/>
    <m/>
    <x v="9"/>
    <m/>
    <m/>
    <m/>
    <m/>
    <m/>
    <m/>
    <m/>
    <s v=""/>
    <m/>
    <m/>
    <m/>
    <m/>
    <m/>
    <s v=""/>
    <m/>
    <m/>
    <m/>
    <m/>
    <m/>
    <m/>
    <m/>
    <m/>
    <m/>
    <m/>
    <m/>
    <n v="0"/>
    <m/>
    <m/>
    <n v="0"/>
    <n v="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9B2E4-1C7B-483E-A6D9-A50011172176}"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C9" firstHeaderRow="0" firstDataRow="1" firstDataCol="1"/>
  <pivotFields count="35">
    <pivotField showAll="0"/>
    <pivotField showAll="0"/>
    <pivotField showAll="0"/>
    <pivotField axis="axisRow" showAll="0">
      <items count="25">
        <item m="1" x="12"/>
        <item x="2"/>
        <item m="1" x="13"/>
        <item m="1" x="18"/>
        <item x="3"/>
        <item m="1" x="23"/>
        <item m="1" x="22"/>
        <item m="1" x="21"/>
        <item m="1" x="19"/>
        <item m="1" x="15"/>
        <item x="0"/>
        <item m="1" x="20"/>
        <item x="1"/>
        <item m="1" x="16"/>
        <item m="1" x="17"/>
        <item x="5"/>
        <item x="7"/>
        <item m="1" x="14"/>
        <item x="6"/>
        <item h="1" m="1" x="10"/>
        <item h="1" x="9"/>
        <item h="1" x="4"/>
        <item h="1" m="1" x="11"/>
        <item h="1"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dataField="1" showAll="0"/>
    <pivotField showAll="0"/>
    <pivotField showAll="0"/>
  </pivotFields>
  <rowFields count="1">
    <field x="3"/>
  </rowFields>
  <rowItems count="8">
    <i>
      <x v="1"/>
    </i>
    <i>
      <x v="4"/>
    </i>
    <i>
      <x v="10"/>
    </i>
    <i>
      <x v="12"/>
    </i>
    <i>
      <x v="15"/>
    </i>
    <i>
      <x v="16"/>
    </i>
    <i>
      <x v="18"/>
    </i>
    <i t="grand">
      <x/>
    </i>
  </rowItems>
  <colFields count="1">
    <field x="-2"/>
  </colFields>
  <colItems count="2">
    <i>
      <x/>
    </i>
    <i i="1">
      <x v="1"/>
    </i>
  </colItems>
  <dataFields count="2">
    <dataField name="Sum of Gross ALE" fld="29" baseField="3" baseItem="0" numFmtId="166"/>
    <dataField name="Sum of Residual ALE" fld="32" baseField="3" baseItem="0"/>
  </dataFields>
  <formats count="2">
    <format dxfId="1">
      <pivotArea outline="0" collapsedLevelsAreSubtotals="1" fieldPosition="0"/>
    </format>
    <format dxfId="0">
      <pivotArea dataOnly="0" labelOnly="1" outline="0" axis="axisValues" fieldPosition="0"/>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100-000000000000}" autoFormatId="0" applyNumberFormats="0" applyBorderFormats="0" applyFontFormats="1" applyPatternFormats="1" applyAlignmentFormats="0" applyWidthHeightFormats="0">
  <queryTableRefresh preserveSortFilterLayout="0" nextId="15">
    <queryTableFields count="14">
      <queryTableField id="1" name="Control Ref" tableColumnId="1"/>
      <queryTableField id="2" name="Risk ref" tableColumnId="2"/>
      <queryTableField id="3" name="Risk Title" tableColumnId="3"/>
      <queryTableField id="4" name="Risk Description" tableColumnId="4"/>
      <queryTableField id="5" name="Risk controls (mitigation)" tableColumnId="5"/>
      <queryTableField id="6" name="Control Owner_x000a_(by exception)" tableColumnId="6"/>
      <queryTableField id="7" name="Impact - 1 to 10" tableColumnId="7"/>
      <queryTableField id="8" name="Likelihood  - 1 to 10 _x000a_" tableColumnId="8"/>
      <queryTableField id="9" name="New RISK SCORE" tableColumnId="9"/>
      <queryTableField id="10" name="Current Status" tableColumnId="10"/>
      <queryTableField id="11" name="Closure Date / Deadline" tableColumnId="11"/>
      <queryTableField id="12" name="Closure Authority" tableColumnId="12"/>
      <queryTableField id="13" name="Comments" tableColumnId="13"/>
      <queryTableField id="14" name="Fixed Reference" tableColumnId="14"/>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D3DA05C-B53C-4128-AB24-E1E7FD022E1D}" name="RISK_table" displayName="RISK_table" ref="A7:AI110" totalsRowShown="0" headerRowDxfId="353" dataDxfId="352" headerRowCellStyle="Normal_Sheet1" dataCellStyle="Normal 3">
  <autoFilter ref="A7:AI110" xr:uid="{AD3DA05C-B53C-4128-AB24-E1E7FD022E1D}"/>
  <tableColumns count="35">
    <tableColumn id="1" xr3:uid="{4CCAFA62-BA64-4835-BB12-0B5745165514}" name="#" dataDxfId="351" dataCellStyle="Normal 3"/>
    <tableColumn id="2" xr3:uid="{CFA196D7-7624-41EB-A342-AEEE16778623}" name="Risk ref" dataDxfId="350" dataCellStyle="Normal_Sheet1">
      <calculatedColumnFormula>IF(U8="Closed","Closed - " &amp; IF(G8&lt;&gt;"","PR_" &amp; TEXT(ROW(G8)-7,"0000"),""), IF(G8&lt;&gt;"","PR_" &amp; TEXT(ROW(G8)-7,"0000"),""))</calculatedColumnFormula>
    </tableColumn>
    <tableColumn id="3" xr3:uid="{A390254D-BBB4-44B9-8066-7DEA8F0F182E}" name="Programme" dataDxfId="349" dataCellStyle="Normal_Sheet1"/>
    <tableColumn id="4" xr3:uid="{4045E9AE-115B-427B-A60E-2B7435A3671E}" name="Workstream" dataDxfId="348" dataCellStyle="Normal 3"/>
    <tableColumn id="5" xr3:uid="{B8CBC6F0-E215-4FC6-AA43-B89313E42C3E}" name="Linked KRI" dataDxfId="347" dataCellStyle="Normal 3"/>
    <tableColumn id="6" xr3:uid="{FE485650-99B7-44CE-BC0B-AF363E829678}" name="Date Added to Risk Register" dataDxfId="346" dataCellStyle="Normal 3"/>
    <tableColumn id="7" xr3:uid="{2AA57895-E6D2-48CE-BC44-036C1C721EE3}" name="Risk Description and Impact" dataDxfId="345" dataCellStyle="Normal 3"/>
    <tableColumn id="8" xr3:uid="{66065423-4ABD-424B-AEF2-BE6A5D432743}" name="Risk Owner" dataDxfId="344" dataCellStyle="Normal 3"/>
    <tableColumn id="9" xr3:uid="{B33A134E-911B-4BF5-95D1-3E4098CE8853}" name="Category" dataDxfId="343" dataCellStyle="Normal 3"/>
    <tableColumn id="10" xr3:uid="{89230B98-AB35-45BE-88FF-9B2FE0C8F759}" name="Impact_x000a_1 to 5" dataDxfId="342" dataCellStyle="Normal 3"/>
    <tableColumn id="11" xr3:uid="{85B8C4A7-C03B-420E-8508-E290151AB2B4}" name="Likelihood_x000a_1 to 5" dataDxfId="341" dataCellStyle="Normal 3"/>
    <tableColumn id="12" xr3:uid="{0B08426A-55D7-47CD-8E82-E73B552FDE9A}" name="RISK SCORE" dataDxfId="340" dataCellStyle="Normal 3">
      <calculatedColumnFormula>IFERROR(VLOOKUP(CONCATENATE(J8,K8),'Risk matrix1'!$A$2:$C$26,2,FALSE),"")</calculatedColumnFormula>
    </tableColumn>
    <tableColumn id="13" xr3:uid="{EEC29C77-E688-4E09-A0F3-AC23A1A2EED7}" name="Risk response" dataDxfId="339" dataCellStyle="Normal 3"/>
    <tableColumn id="14" xr3:uid="{2E6C2BFB-965B-4B2C-9081-F1D7D85782BA}" name="Risk controls (mitigation)" dataDxfId="338" dataCellStyle="Normal 3"/>
    <tableColumn id="15" xr3:uid="{8728E1FA-6891-4A0D-8ABB-3BCC32C10074}" name="Control Owner_x000a_(by exception)" dataDxfId="337" dataCellStyle="Normal 3"/>
    <tableColumn id="16" xr3:uid="{A08A1724-8B3C-4984-A1F6-5459108E17CA}" name="Impact_x000a_1 to 52" dataDxfId="336" dataCellStyle="Normal 3"/>
    <tableColumn id="17" xr3:uid="{CE48400F-F896-40E9-AE7E-CC1641258CCB}" name="Likelihood_x000a_1 to 53" dataDxfId="335" dataCellStyle="Normal 3"/>
    <tableColumn id="18" xr3:uid="{57B7F094-7C1D-4E1F-98BE-7CDB49BE54EA}" name="New RISK SCORE" dataDxfId="334" dataCellStyle="Normal 3">
      <calculatedColumnFormula>IFERROR(VLOOKUP(CONCATENATE(P9,Q9),'Risk matrix1'!$A$2:$C$26,2,FALSE),"")</calculatedColumnFormula>
    </tableColumn>
    <tableColumn id="19" xr3:uid="{4F68614B-129D-458C-9487-B060FF29FB93}" name="Risk Appetite" dataDxfId="333" dataCellStyle="Normal 3"/>
    <tableColumn id="20" xr3:uid="{7E1722AF-1BB7-494C-8667-07E04FCF98C5}" name="Risk review plan" dataDxfId="332" dataCellStyle="Normal 3"/>
    <tableColumn id="21" xr3:uid="{977E51FF-9C4D-478F-AE7B-E3297E5F26D5}" name="Current Status" dataDxfId="331" dataCellStyle="Normal 3"/>
    <tableColumn id="22" xr3:uid="{351E9807-C01C-4B80-9FD8-D9641DF015D9}" name="Last Review Date" dataDxfId="330" dataCellStyle="Normal 3"/>
    <tableColumn id="23" xr3:uid="{3793933F-7B0C-4E9D-9FBB-6EA44A09157F}" name="Next Review Date" dataDxfId="329" dataCellStyle="Normal 3"/>
    <tableColumn id="24" xr3:uid="{2B89D05F-FB0B-4625-AE71-0309D54A906A}" name="Progress Update" dataDxfId="328" dataCellStyle="Normal 3"/>
    <tableColumn id="25" xr3:uid="{2B7F8668-1B32-4183-BD04-54F92C1F0C03}" name="Closure Date" dataDxfId="327" dataCellStyle="Normal 3"/>
    <tableColumn id="26" xr3:uid="{53DEE486-247C-4968-9DE1-04F79598D9F1}" name="Closure Authority" dataDxfId="326" dataCellStyle="Normal 3"/>
    <tableColumn id="27" xr3:uid="{94C154D2-808E-4B32-B626-892F1EF95A50}" name="Additional Controls" dataDxfId="325" dataCellStyle="Normal 3"/>
    <tableColumn id="28" xr3:uid="{BEFCB4A9-52A0-4574-8604-41387BF151C6}" name="Gross Impact (£)" dataDxfId="324" dataCellStyle="Normal 3"/>
    <tableColumn id="29" xr3:uid="{A4C84F28-CE3F-4B6B-B7BC-124F1E69830E}" name="Gross Likelihood (probability / frequency)" dataDxfId="323" dataCellStyle="Normal 3"/>
    <tableColumn id="30" xr3:uid="{5BC947C7-CAA5-42E4-965B-ADFD9D7DB55A}" name="Gross ALE" dataDxfId="322" dataCellStyle="Normal 3">
      <calculatedColumnFormula>IFERROR(SUM(AB8*AC8),"")</calculatedColumnFormula>
    </tableColumn>
    <tableColumn id="31" xr3:uid="{7E502A05-02D6-4DED-9AF3-CBFC1F98D272}" name="Residual Impact (£)" dataDxfId="321" dataCellStyle="Normal 3"/>
    <tableColumn id="32" xr3:uid="{61558530-24B7-4CD1-85B0-FD7019D94B2B}" name="Residual Likelihood (probability / frequency)" dataDxfId="320" dataCellStyle="Normal 3"/>
    <tableColumn id="33" xr3:uid="{0DC62AC3-50C4-4CA9-A358-DFE5A06DD3E8}" name="Residual ALE" dataDxfId="319" dataCellStyle="Normal 3">
      <calculatedColumnFormula>IFERROR(SUM(AE8*AF8),"")</calculatedColumnFormula>
    </tableColumn>
    <tableColumn id="34" xr3:uid="{11499024-139B-4223-A26E-1F08BF613E4B}" name="Risk Reduction" dataDxfId="318" dataCellStyle="Normal 3">
      <calculatedColumnFormula>IFERROR(SUM(AD8-AG8),"")</calculatedColumnFormula>
    </tableColumn>
    <tableColumn id="35" xr3:uid="{162675E6-B805-41F6-81E6-46BEBDD17566}" name="Risk Reduction (%)" dataDxfId="317" dataCellStyle="Normal 3">
      <calculatedColumnFormula>IFERROR(SUM(AH8/AD8),"")</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E2B2836-EEC7-47EB-81BC-FF8A0E87B587}" name="Issues_table" displayName="Issues_table" ref="A7:S107" totalsRowShown="0" headerRowDxfId="142" dataDxfId="141" tableBorderDxfId="140" headerRowCellStyle="Normal 2" dataCellStyle="Normal 2">
  <autoFilter ref="A7:S107" xr:uid="{3E2B2836-EEC7-47EB-81BC-FF8A0E87B587}">
    <filterColumn colId="16">
      <filters blank="1">
        <filter val="2. Escalated"/>
        <filter val="3. Implementing Fix"/>
      </filters>
    </filterColumn>
  </autoFilter>
  <tableColumns count="19">
    <tableColumn id="1" xr3:uid="{31DE8DDF-5C40-4E63-BF74-1DEAAF57ACC6}" name="#" dataDxfId="139" dataCellStyle="Normal 2"/>
    <tableColumn id="2" xr3:uid="{363975F0-D65E-4240-B67B-083B2AFC0A03}" name="Issue ref" dataDxfId="138" dataCellStyle="Normal 2">
      <calculatedColumnFormula>IF(F8&lt;&gt;"","PI_" &amp; TEXT(ROW(F8)-6,"0000"),"")</calculatedColumnFormula>
    </tableColumn>
    <tableColumn id="3" xr3:uid="{A41792B3-2A55-4BCD-BB6F-BFE49E7E1CEB}" name="Previous risk ref (if aplicable)" dataDxfId="137" dataCellStyle="Normal 2"/>
    <tableColumn id="4" xr3:uid="{FC337462-9D30-44DB-AFFE-B6C1A072A888}" name="Date Added to Issues Log" dataDxfId="136" dataCellStyle="Normal 2"/>
    <tableColumn id="5" xr3:uid="{D678F5C7-2B36-4FA2-9570-DC582B2230B6}" name="Linked KRI" dataDxfId="135" dataCellStyle="Normal 2"/>
    <tableColumn id="6" xr3:uid="{0FBAD225-D526-4A51-90CF-6425D0A441AD}" name="Issue Description and impact" dataDxfId="134" dataCellStyle="Normal 3"/>
    <tableColumn id="7" xr3:uid="{1C7D8871-17F2-47DA-A0C8-21C6C088A784}" name="Impacted projects" dataDxfId="133" dataCellStyle="Normal 3"/>
    <tableColumn id="8" xr3:uid="{F7378256-AE99-4F7A-A609-78BDE9B00176}" name="Issue Owner" dataDxfId="132" dataCellStyle="Normal 2"/>
    <tableColumn id="9" xr3:uid="{6D6166BC-9680-4105-9662-C866408364DC}" name="Priority" dataDxfId="131" dataCellStyle="Normal 2"/>
    <tableColumn id="10" xr3:uid="{DFCC9C75-1BEF-43A1-ACEF-AAFD3CE4D463}" name="Severity" dataDxfId="130" dataCellStyle="Normal 2"/>
    <tableColumn id="11" xr3:uid="{B6AAAC54-A409-45AE-A86F-868A90654B39}" name="ISSUE SCORE" dataDxfId="129" dataCellStyle="Normal 2">
      <calculatedColumnFormula>IFERROR(VLOOKUP(CONCATENATE(Issues_table[[#This Row],[Priority]],Issues_table[[#This Row],[Severity]]),'Issue data'!$A$2:$B$10,2,FALSE),"")</calculatedColumnFormula>
    </tableColumn>
    <tableColumn id="12" xr3:uid="{CB7D1CEA-B788-457E-832C-CDDD8E32D9C9}" name="Issue controls (mitigation) and updates" dataDxfId="128" dataCellStyle="Normal 2"/>
    <tableColumn id="13" xr3:uid="{8C029EA3-7762-4977-85EF-476788EEBF58}" name="Control owner" dataDxfId="127" dataCellStyle="Normal 2"/>
    <tableColumn id="14" xr3:uid="{9EDD6DAE-BFE9-460B-9E52-D8987BBDE811}" name="Progress updates" dataDxfId="126" dataCellStyle="Normal 2"/>
    <tableColumn id="15" xr3:uid="{9112BC24-2CE5-4973-BB3F-E4581EA874B3}" name="Date Updated" dataDxfId="125" dataCellStyle="Normal 2"/>
    <tableColumn id="16" xr3:uid="{729C66A3-D082-4B58-825F-B6C32493C8EB}" name="Control Deadline" dataDxfId="124" dataCellStyle="Normal 2"/>
    <tableColumn id="17" xr3:uid="{0E9D4672-85C7-4324-9CFF-27113647EA77}" name="Status" dataDxfId="123" dataCellStyle="Normal 2"/>
    <tableColumn id="18" xr3:uid="{BD095CBF-F51D-4ADA-889C-AEA1BB97BC8C}" name="Status2" dataDxfId="122" dataCellStyle="Normal 2"/>
    <tableColumn id="19" xr3:uid="{69164406-EAFB-4932-A6A3-C691467950D3}" name="To add to lessons learnt?" dataDxfId="121" dataCellStyle="Normal 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qryData_Controls" displayName="qryData_Controls" ref="A10:N14" tableType="queryTable" totalsRowShown="0">
  <autoFilter ref="A10:N14" xr:uid="{00000000-0009-0000-0100-000002000000}"/>
  <tableColumns count="14">
    <tableColumn id="1" xr3:uid="{00000000-0010-0000-0000-000001000000}" uniqueName="1" name="Control Ref" queryTableFieldId="1" dataDxfId="120"/>
    <tableColumn id="2" xr3:uid="{00000000-0010-0000-0000-000002000000}" uniqueName="2" name="Risk ref" queryTableFieldId="2" dataDxfId="119"/>
    <tableColumn id="3" xr3:uid="{00000000-0010-0000-0000-000003000000}" uniqueName="3" name="Risk Title" queryTableFieldId="3" dataDxfId="118"/>
    <tableColumn id="4" xr3:uid="{00000000-0010-0000-0000-000004000000}" uniqueName="4" name="Risk Description" queryTableFieldId="4" dataDxfId="117"/>
    <tableColumn id="5" xr3:uid="{00000000-0010-0000-0000-000005000000}" uniqueName="5" name="Risk controls (mitigation)" queryTableFieldId="5" dataDxfId="116"/>
    <tableColumn id="6" xr3:uid="{00000000-0010-0000-0000-000006000000}" uniqueName="6" name="Control Owner_x000a_(by exception)" queryTableFieldId="6" dataDxfId="115"/>
    <tableColumn id="7" xr3:uid="{00000000-0010-0000-0000-000007000000}" uniqueName="7" name="Impact - 1 to 10" queryTableFieldId="7" dataDxfId="114"/>
    <tableColumn id="8" xr3:uid="{00000000-0010-0000-0000-000008000000}" uniqueName="8" name="Likelihood  - 1 to 10 _x000a_" queryTableFieldId="8" dataDxfId="113"/>
    <tableColumn id="9" xr3:uid="{00000000-0010-0000-0000-000009000000}" uniqueName="9" name="New RISK SCORE" queryTableFieldId="9" dataDxfId="112"/>
    <tableColumn id="10" xr3:uid="{00000000-0010-0000-0000-00000A000000}" uniqueName="10" name="Current Status" queryTableFieldId="10" dataDxfId="111"/>
    <tableColumn id="11" xr3:uid="{00000000-0010-0000-0000-00000B000000}" uniqueName="11" name="Closure Date / Deadline" queryTableFieldId="11" dataDxfId="110"/>
    <tableColumn id="12" xr3:uid="{00000000-0010-0000-0000-00000C000000}" uniqueName="12" name="Closure Authority" queryTableFieldId="12" dataDxfId="109"/>
    <tableColumn id="13" xr3:uid="{00000000-0010-0000-0000-00000D000000}" uniqueName="13" name="Comments" queryTableFieldId="13" dataDxfId="108"/>
    <tableColumn id="14" xr3:uid="{00000000-0010-0000-0000-00000E000000}" uniqueName="14" name="Fixed Reference" queryTableFieldId="14" dataDxfId="10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qryFilter" displayName="qryFilter" ref="B4:B5" totalsRowShown="0" headerRowDxfId="106" dataDxfId="105">
  <autoFilter ref="B4:B5" xr:uid="{00000000-0009-0000-0100-000003000000}"/>
  <tableColumns count="1">
    <tableColumn id="1" xr3:uid="{00000000-0010-0000-0100-000001000000}" name="Risk_Ref" dataDxfId="10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298795B-CAA8-4B40-AD7A-61649B1679F3}" name="KRI_monthly" displayName="KRI_monthly" ref="C2:W11" totalsRowShown="0" headerRowDxfId="103" dataDxfId="101" headerRowBorderDxfId="102" tableBorderDxfId="100">
  <autoFilter ref="C2:W11" xr:uid="{DF113F93-B08D-40BB-959B-9B9B7F739682}"/>
  <tableColumns count="21">
    <tableColumn id="1" xr3:uid="{B546AE75-25B7-434A-BE4D-70EF771553C5}" name="Metric #" dataDxfId="99"/>
    <tableColumn id="2" xr3:uid="{42A4C022-5B96-4FB6-A1E7-B1AD52E0F2C6}" name="Workstream" dataDxfId="98"/>
    <tableColumn id="3" xr3:uid="{23674D8D-48A6-47EC-A545-56A190150639}" name="KRI Name" dataDxfId="97"/>
    <tableColumn id="4" xr3:uid="{1B11F406-654D-4903-A82D-18297826EF49}" name="Total N Associated Risks" dataDxfId="96"/>
    <tableColumn id="5" xr3:uid="{4AE43F6D-227C-42CB-AB50-949BC90F922F}" name="KRI Formula" dataDxfId="95"/>
    <tableColumn id="18" xr3:uid="{FBAD3D9A-D9E0-42E1-B741-2613F7950036}" name="Sample Input Data" dataDxfId="94"/>
    <tableColumn id="21" xr3:uid="{B2CAC56C-50C3-41C9-8A40-28BBB0C1DB69}" name="Minimum Required Inputs" dataDxfId="93"/>
    <tableColumn id="6" xr3:uid="{C9294C96-4CDF-4F70-9A42-4BF1153DC400}" name="Input A" dataDxfId="92"/>
    <tableColumn id="7" xr3:uid="{E1A42303-989E-4C14-A767-F59EBF03B0EC}" name="Input B" dataDxfId="91"/>
    <tableColumn id="8" xr3:uid="{12D1AD36-9449-4463-B6BD-5CA8D30C8A10}" name="Input C" dataDxfId="90"/>
    <tableColumn id="15" xr3:uid="{C42220CE-1C59-4207-B355-7C75D77789ED}" name="Input D" dataDxfId="89"/>
    <tableColumn id="19" xr3:uid="{233B5696-A9E7-47D0-86A6-2DDEEA009AAF}" name="Input E" dataDxfId="88"/>
    <tableColumn id="9" xr3:uid="{93EE435B-35B9-4872-90E1-F78661C91DF6}" name="Calculation Formula" dataDxfId="87"/>
    <tableColumn id="17" xr3:uid="{72F1C4C5-2414-4E83-83E2-C150607266A2}" name="Unit" dataDxfId="86"/>
    <tableColumn id="10" xr3:uid="{27D0499C-5403-4FF1-AEA7-C11989EE1A9D}" name="Current Value" dataDxfId="85"/>
    <tableColumn id="20" xr3:uid="{4558E898-C1A4-4ACF-A4B4-8BA280FA75E6}" name="Data Completion" dataDxfId="84"/>
    <tableColumn id="11" xr3:uid="{FC47C311-00FE-46CE-BAFD-681771B51367}" name="Green Threshold" dataDxfId="83"/>
    <tableColumn id="12" xr3:uid="{ABC83ECD-7944-4EBF-A59A-1E80909F256D}" name="Amber Threshold" dataDxfId="82"/>
    <tableColumn id="13" xr3:uid="{849C05AE-724B-4673-9674-0E1012E623F4}" name="Red Threshold" dataDxfId="81"/>
    <tableColumn id="14" xr3:uid="{D4A2B12F-A3EA-4A4F-8C8C-A3AEDF9FD271}" name="Status" dataDxfId="80"/>
    <tableColumn id="16" xr3:uid="{484642A6-0F6A-4A5D-BC6B-8F443CD0524A}" name="Escalation Trigger" dataDxfId="79"/>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DB372F-9DEB-4619-A6A9-CDE6641CD044}" name="KPI_monthly" displayName="KPI_monthly" ref="B3:P16" totalsRowShown="0" headerRowDxfId="78" dataDxfId="76" headerRowBorderDxfId="77" tableBorderDxfId="75" totalsRowBorderDxfId="74">
  <autoFilter ref="B3:P16" xr:uid="{DCDB372F-9DEB-4619-A6A9-CDE6641CD044}"/>
  <tableColumns count="15">
    <tableColumn id="1" xr3:uid="{B803472C-D5EF-4D4A-8460-1BF5F4279CDA}" name="Objectives" dataDxfId="73"/>
    <tableColumn id="2" xr3:uid="{59223213-3894-4211-8498-2485ECD5AD44}" name="KPI Name" dataDxfId="72"/>
    <tableColumn id="3" xr3:uid="{DD8F2F1D-E75A-436B-AB88-84B7CC46AB8D}" name="KPI Formula" dataDxfId="71">
      <calculatedColumnFormula>IFERROR(_xlfn.XLOOKUP(KPI_monthly[[#This Row],[KPI Name]],[2]!KPI_table[KPI],[2]!KPI_table[KPI Formula]), "")</calculatedColumnFormula>
    </tableColumn>
    <tableColumn id="15" xr3:uid="{EB642A38-39A0-4384-8A02-D0A3141E106D}" name="Notes" dataDxfId="70">
      <calculatedColumnFormula>IF(KPI_monthly[[#This Row],[KPI Name]]&lt;&gt;"",IF(_xlfn.XLOOKUP(KPI_monthly[[#This Row],[KPI Name]],[2]!KPI_table[KPI],[2]!KPI_table[Notes])&lt;&gt;0, _xlfn.XLOOKUP(KPI_monthly[[#This Row],[KPI Name]],[2]!KPI_table[KPI],[2]!KPI_table[Notes]),""),"")</calculatedColumnFormula>
    </tableColumn>
    <tableColumn id="8" xr3:uid="{14794EB1-2BA8-44E4-BD5A-80B3F5CA4135}" name="Sample Inputs" dataDxfId="69">
      <calculatedColumnFormula>IF(KPI_monthly[[#This Row],[KPI Name]]&lt;&gt;"",IF(_xlfn.XLOOKUP(KPI_monthly[[#This Row],[KPI Name]],[2]!KPI_table[KPI],[2]!KPI_table[🟢 Sample Input Data])&lt;&gt;0, _xlfn.XLOOKUP(KPI_monthly[[#This Row],[KPI Name]],[2]!KPI_table[KPI],[2]!KPI_table[🟢 Sample Input Data]),""),"")</calculatedColumnFormula>
    </tableColumn>
    <tableColumn id="4" xr3:uid="{7ADEAA17-2888-469E-BE14-8FFEDFE13A27}" name="Input A" dataDxfId="68"/>
    <tableColumn id="5" xr3:uid="{64B90AC5-6AE0-481B-AB14-88055CD96E8E}" name="Input B" dataDxfId="67"/>
    <tableColumn id="6" xr3:uid="{53BE261E-8755-41F5-B78C-26F7EC85F8A4}" name="Input C" dataDxfId="66"/>
    <tableColumn id="7" xr3:uid="{0FF83C3B-11F2-4CCE-86D6-C44E5B9B9B72}" name="Input D" dataDxfId="65"/>
    <tableColumn id="14" xr3:uid="{34263EB8-1AE6-4EAF-93A1-159563FEA7A4}" name="Unit" dataDxfId="64">
      <calculatedColumnFormula>IF(KPI_monthly[[#This Row],[KPI Name]]&lt;&gt;"", IF(_xlfn.XLOOKUP(KPI_monthly[[#This Row],[KPI Name]],[2]!KPI_table[KPI],[2]!KPI_table[Unit])&lt;&gt;"",_xlfn.XLOOKUP(KPI_monthly[[#This Row],[KPI Name]],[2]!KPI_table[KPI],[2]!KPI_table[Unit]),""),"")</calculatedColumnFormula>
    </tableColumn>
    <tableColumn id="9" xr3:uid="{A866F9BD-211D-44F4-BF38-C42806ADDEAA}" name="Current Value" dataDxfId="63"/>
    <tableColumn id="17" xr3:uid="{A8D2D721-85F8-4088-99D0-ECF242E18111}" name="Green Threshold" dataDxfId="62">
      <calculatedColumnFormula>IF(KPI_monthly[[#This Row],[KPI Name]]&lt;&gt;"",IF(_xlfn.XLOOKUP(KPI_monthly[[#This Row],[KPI Name]],[2]!KPI_table[KPI],[2]!KPI_table[Green])&lt;&gt;0, _xlfn.XLOOKUP(KPI_monthly[[#This Row],[KPI Name]],[2]!KPI_table[KPI],[2]!KPI_table[Green]),""),"")</calculatedColumnFormula>
    </tableColumn>
    <tableColumn id="16" xr3:uid="{3B7DBB0C-F37E-4F8F-8ACA-FD9A48C37C89}" name="Amber Threshold" dataDxfId="61">
      <calculatedColumnFormula>IF(KPI_monthly[[#This Row],[KPI Name]]&lt;&gt;"",IF(_xlfn.XLOOKUP(KPI_monthly[[#This Row],[KPI Name]],[2]!KPI_table[KPI],[2]!KPI_table[Amber])&lt;&gt;0, _xlfn.XLOOKUP(KPI_monthly[[#This Row],[KPI Name]],[2]!KPI_table[KPI],[2]!KPI_table[Amber]),""),"")</calculatedColumnFormula>
    </tableColumn>
    <tableColumn id="12" xr3:uid="{0D050AE5-D63F-4125-8E66-7325220C12A8}" name="Red Threshold" dataDxfId="60">
      <calculatedColumnFormula>IF(KPI_monthly[[#This Row],[KPI Name]]&lt;&gt;"",IF(_xlfn.XLOOKUP(KPI_monthly[[#This Row],[KPI Name]],[2]!KPI_table[KPI],[2]!KPI_table[Red])&lt;&gt;0, _xlfn.XLOOKUP(KPI_monthly[[#This Row],[KPI Name]],[2]!KPI_table[KPI],[2]!KPI_table[Red]),""),"")</calculatedColumnFormula>
    </tableColumn>
    <tableColumn id="13" xr3:uid="{670ED01C-D4F9-42E7-BE8A-2281348B2E6D}" name="Status" dataDxfId="59"/>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B29CEE0-8C84-4DC8-B5DC-14856DB05272}" name="KPI_KRI_table" displayName="KPI_KRI_table" ref="A1:I20" totalsRowShown="0" headerRowDxfId="54" dataDxfId="52" headerRowBorderDxfId="53" tableBorderDxfId="51" totalsRowBorderDxfId="50">
  <autoFilter ref="A1:I20" xr:uid="{2B29CEE0-8C84-4DC8-B5DC-14856DB05272}"/>
  <sortState xmlns:xlrd2="http://schemas.microsoft.com/office/spreadsheetml/2017/richdata2" ref="A2:I20">
    <sortCondition ref="I1:I20"/>
  </sortState>
  <tableColumns count="9">
    <tableColumn id="1" xr3:uid="{E3772DBD-3AD5-4916-ADE6-BBF80B4F03DC}" name="KPI Name" dataDxfId="49"/>
    <tableColumn id="2" xr3:uid="{ACD24F30-6D68-4DB2-8BBE-2C90C7316ED1}" name="Related KRI" dataDxfId="48"/>
    <tableColumn id="3" xr3:uid="{4D74592A-F036-4CDE-8EE3-AB036C5E0860}" name="KRI Current Value" dataDxfId="47"/>
    <tableColumn id="4" xr3:uid="{519E6AE5-6E38-4848-8CD0-C4FF6B4A4B23}" name="KPI Current Value" dataDxfId="46"/>
    <tableColumn id="5" xr3:uid="{A765BE82-C79F-485A-BEE4-A742FDADABC9}" name="Impact Assessment" dataDxfId="45"/>
    <tableColumn id="6" xr3:uid="{6DC60CB2-A468-42E1-BF6B-21804EB53F09}" name="What KRI Breach Means for KPI" dataDxfId="44"/>
    <tableColumn id="7" xr3:uid="{F8E8E3CB-890B-4F5B-A9E5-CE99E189377F}" name="KPI Predicted Performance" dataDxfId="43"/>
    <tableColumn id="8" xr3:uid="{06B87FA5-DCA8-4393-A56D-5D47B3B0AF59}" name="Conclusion" dataDxfId="42"/>
    <tableColumn id="10" xr3:uid="{3A15EE5F-35EE-4065-B4C5-783679CF4D2C}" name="Objectives" dataDxfId="41"/>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16843E1-AB18-42F3-AE06-7D22AD0206CF}" name="KPI_table" displayName="KPI_table" ref="R5:AG45" totalsRowShown="0" headerRowDxfId="40" dataDxfId="38" headerRowBorderDxfId="39" tableBorderDxfId="37">
  <autoFilter ref="R5:AG45" xr:uid="{616843E1-AB18-42F3-AE06-7D22AD0206CF}"/>
  <tableColumns count="16">
    <tableColumn id="1" xr3:uid="{B9EBC8AB-D958-41E1-93A2-F1BA2743045B}" name="Objectives" dataDxfId="36"/>
    <tableColumn id="2" xr3:uid="{AF5B6AE0-B6EA-4675-81EF-8A4FC8E91C2D}" name=" " dataDxfId="35"/>
    <tableColumn id="3" xr3:uid="{DBA052D1-1F05-4D1A-A1AA-B56F4B6BE318}" name="KPI" dataDxfId="34"/>
    <tableColumn id="4" xr3:uid="{B81C1D0E-AB02-482E-9F8B-B11BF57B885C}" name="Label" dataDxfId="33"/>
    <tableColumn id="5" xr3:uid="{0B60DC1E-C11E-4C1F-8FFB-6CAB5DB3106F}" name="KPI Formula" dataDxfId="32"/>
    <tableColumn id="6" xr3:uid="{D6D81492-8154-483B-90E9-6AEA5D43FD5F}" name="Notes" dataDxfId="31"/>
    <tableColumn id="7" xr3:uid="{89D39455-C495-47D0-B2F9-6DA71832C046}" name="Unit" dataDxfId="30"/>
    <tableColumn id="8" xr3:uid="{AF0792DD-4E43-453E-A356-7DDA96D985FE}" name="Green" dataDxfId="29"/>
    <tableColumn id="9" xr3:uid="{D1ACBF80-B059-4A3F-9A6C-FB0AE576D114}" name="Amber" dataDxfId="28"/>
    <tableColumn id="10" xr3:uid="{ADA9DF2B-4763-4F63-843C-1962AE2B7613}" name="Red" dataDxfId="27"/>
    <tableColumn id="11" xr3:uid="{6205C8EB-31A0-4D1E-9E91-B346B5943C9A}" name="Related KRI" dataDxfId="26"/>
    <tableColumn id="16" xr3:uid="{0BAF4ECE-60D3-452A-8592-B9DF92807085}" name="Related KRI Description" dataDxfId="25"/>
    <tableColumn id="12" xr3:uid="{37E2748F-49D5-43E7-A160-3C30E50CD9EC}" name="🔵 Review Frequency" dataDxfId="24"/>
    <tableColumn id="13" xr3:uid="{BCE2DE49-EEDB-42A1-864A-441A74FD8475}" name="🔵 Business Justification" dataDxfId="23"/>
    <tableColumn id="14" xr3:uid="{2255D8D9-53F2-4E75-AF35-60528D402EB9}" name="🟢 Sample Input Data" dataDxfId="22"/>
    <tableColumn id="15" xr3:uid="{6B454E08-E371-4CED-8830-0CC69D3E1A03}" name="🟢 Sample Result" dataDxfId="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CB16C8-C2A1-490B-BECE-0707D79F5A72}" name="KRI_table" displayName="KRI_table" ref="A5:P16" totalsRowShown="0" headerRowDxfId="20" headerRowBorderDxfId="19" tableBorderDxfId="18">
  <autoFilter ref="A5:P16" xr:uid="{1DCB16C8-C2A1-490B-BECE-0707D79F5A72}"/>
  <sortState xmlns:xlrd2="http://schemas.microsoft.com/office/spreadsheetml/2017/richdata2" ref="A6:N16">
    <sortCondition ref="A5:A16"/>
  </sortState>
  <tableColumns count="16">
    <tableColumn id="1" xr3:uid="{7A0E68D6-594B-4E05-8BD2-16F878267122}" name="Workstream" dataDxfId="17"/>
    <tableColumn id="2" xr3:uid="{3207C58A-940C-4C08-AED1-A825D9071B7A}" name="KRI Code" dataDxfId="16"/>
    <tableColumn id="3" xr3:uid="{BD708520-13D2-4ACA-AD9E-174706807074}" name="KRI" dataDxfId="15"/>
    <tableColumn id="14" xr3:uid="{F1479092-9796-41C3-B4DA-17DFC288F05C}" name="Tier" dataDxfId="14"/>
    <tableColumn id="4" xr3:uid="{0BC5D41D-968B-4A7F-AEC9-531E3ECE9B81}" name="Label" dataDxfId="13"/>
    <tableColumn id="5" xr3:uid="{0D79219D-41F3-4537-92DA-447A46AF63C1}" name="KRI Formula" dataDxfId="12"/>
    <tableColumn id="6" xr3:uid="{E0FF4B0C-EE9B-4A18-8342-B41B4FF6636C}" name="Unit" dataDxfId="11"/>
    <tableColumn id="7" xr3:uid="{12AAF5D7-B668-499F-9D7A-557D4A84F680}" name="Green" dataDxfId="10"/>
    <tableColumn id="8" xr3:uid="{DEE9E55E-F494-4601-96FB-C05D9C6FBF4E}" name="Amber" dataDxfId="9"/>
    <tableColumn id="9" xr3:uid="{AE94BC8F-05D4-42A2-AF72-7AA5B8899BE8}" name="Red" dataDxfId="8"/>
    <tableColumn id="10" xr3:uid="{82E2C7BC-6013-4D45-9336-9D9A6755FD7B}" name="🔵 Escalation Trigger" dataDxfId="7"/>
    <tableColumn id="11" xr3:uid="{BC6785F9-1B79-4595-81E6-A007FC5B5DDD}" name="Sample Input Data" dataDxfId="6"/>
    <tableColumn id="12" xr3:uid="{DBA4D146-F0F2-4577-94E2-7F0D77037D2B}" name="🟢 Sample Result" dataDxfId="5"/>
    <tableColumn id="13" xr3:uid="{9F4AB9A6-D53A-4592-8D5B-C8E46CD9065B}" name="🟢Notes" dataDxfId="4"/>
    <tableColumn id="15" xr3:uid="{21643B08-466B-4E59-9C09-1FC6A8F8AFA4}" name="Review Frequency" dataDxfId="3"/>
    <tableColumn id="16" xr3:uid="{7C201FEC-C8E9-4166-A26E-C0E30DB9013C}" name="Business Justification" dataDxfId="2"/>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S7" dT="2025-08-19T10:19:28.19" personId="{2958DD44-267E-4FF0-A506-F4280539F685}" id="{BBEFDF8B-30A7-4319-9214-D9D2C3D4D9AA}">
    <text>How much risk we are willing to accept</text>
  </threadedComment>
  <threadedComment ref="AB7" dT="2025-08-19T10:26:43.86" personId="{2958DD44-267E-4FF0-A506-F4280539F685}" id="{865B3E83-BD22-40BF-84E3-113A3CB31B96}">
    <text>Where the figure can be deemed to be subjective then use the guide figure provided. Where we know an actual monetary value, use that.
For projects use % of scheme budget.</text>
  </threadedComment>
  <threadedComment ref="E71" dT="2025-08-20T10:00:54.35" personId="{2958DD44-267E-4FF0-A506-F4280539F685}" id="{56A34FEA-1FDB-4213-BD76-BD1CA6BCF424}">
    <text>Current issue for lots A&amp;B. Remaining risk for overall future programme.</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65423-1472-4191-801A-5DD8B7AF3AD3}">
  <sheetPr codeName="Sheet3">
    <tabColor theme="5" tint="0.39997558519241921"/>
    <pageSetUpPr fitToPage="1"/>
  </sheetPr>
  <dimension ref="A2:AI111"/>
  <sheetViews>
    <sheetView tabSelected="1" zoomScale="90" zoomScaleNormal="90" workbookViewId="0">
      <pane xSplit="7" ySplit="7" topLeftCell="H8" activePane="bottomRight" state="frozen"/>
      <selection pane="topRight" activeCell="G1" sqref="G1"/>
      <selection pane="bottomLeft" activeCell="A9" sqref="A9"/>
      <selection pane="bottomRight" activeCell="AI7" sqref="B7:AI7"/>
    </sheetView>
  </sheetViews>
  <sheetFormatPr defaultColWidth="9.33203125" defaultRowHeight="14.25" customHeight="1"/>
  <cols>
    <col min="1" max="1" width="2.88671875" style="334" customWidth="1"/>
    <col min="2" max="2" width="9.88671875" style="349" customWidth="1"/>
    <col min="3" max="3" width="16.88671875" style="349" customWidth="1"/>
    <col min="4" max="4" width="15.88671875" style="349" customWidth="1"/>
    <col min="5" max="5" width="17.5546875" style="361" customWidth="1"/>
    <col min="6" max="6" width="20.88671875" style="361" bestFit="1" customWidth="1"/>
    <col min="7" max="7" width="28.33203125" style="349" customWidth="1"/>
    <col min="8" max="8" width="13.5546875" style="349" customWidth="1"/>
    <col min="9" max="9" width="13.6640625" style="349" customWidth="1"/>
    <col min="10" max="10" width="11.109375" style="349" customWidth="1"/>
    <col min="11" max="11" width="11.6640625" style="349" customWidth="1"/>
    <col min="12" max="12" width="14.5546875" style="361" customWidth="1"/>
    <col min="13" max="13" width="16" style="361" customWidth="1"/>
    <col min="14" max="14" width="61.33203125" style="362" customWidth="1"/>
    <col min="15" max="15" width="14.6640625" style="349" customWidth="1"/>
    <col min="16" max="17" width="11" style="349" customWidth="1"/>
    <col min="18" max="18" width="19.109375" style="361" customWidth="1"/>
    <col min="19" max="19" width="15.109375" style="361" customWidth="1"/>
    <col min="20" max="20" width="18.109375" style="361" customWidth="1"/>
    <col min="21" max="21" width="16.33203125" style="361" customWidth="1"/>
    <col min="22" max="23" width="18.88671875" style="361" customWidth="1"/>
    <col min="24" max="24" width="58.33203125" style="361" customWidth="1"/>
    <col min="25" max="25" width="14.88671875" style="349" customWidth="1"/>
    <col min="26" max="26" width="27.21875" style="349" bestFit="1" customWidth="1"/>
    <col min="27" max="27" width="14.6640625" style="363" hidden="1" customWidth="1"/>
    <col min="28" max="28" width="26.21875" style="349" bestFit="1" customWidth="1"/>
    <col min="29" max="29" width="44.109375" style="349" bestFit="1" customWidth="1"/>
    <col min="30" max="30" width="20.109375" style="349" bestFit="1" customWidth="1"/>
    <col min="31" max="31" width="28.77734375" style="349" bestFit="1" customWidth="1"/>
    <col min="32" max="32" width="46.6640625" style="349" bestFit="1" customWidth="1"/>
    <col min="33" max="33" width="22.88671875" style="349" bestFit="1" customWidth="1"/>
    <col min="34" max="34" width="24.88671875" style="349" bestFit="1" customWidth="1"/>
    <col min="35" max="35" width="28.44140625" style="349" bestFit="1" customWidth="1"/>
    <col min="36" max="16384" width="9.33203125" style="349"/>
  </cols>
  <sheetData>
    <row r="2" spans="1:35" ht="25.35" customHeight="1">
      <c r="B2" s="830" t="s">
        <v>0</v>
      </c>
      <c r="C2" s="831"/>
      <c r="D2" s="831"/>
      <c r="E2" s="832"/>
      <c r="F2" s="832"/>
      <c r="G2" s="831"/>
      <c r="H2" s="833"/>
    </row>
    <row r="3" spans="1:35" ht="25.35" customHeight="1">
      <c r="B3" s="830" t="s">
        <v>1</v>
      </c>
      <c r="C3" s="831"/>
      <c r="D3" s="831"/>
      <c r="E3" s="832"/>
      <c r="F3" s="832"/>
      <c r="G3" s="831"/>
      <c r="H3" s="833"/>
    </row>
    <row r="4" spans="1:35" ht="25.35" customHeight="1">
      <c r="B4" s="830" t="s">
        <v>2</v>
      </c>
      <c r="C4" s="831"/>
      <c r="D4" s="831"/>
      <c r="E4" s="832"/>
      <c r="F4" s="832"/>
      <c r="G4" s="831"/>
      <c r="H4" s="833"/>
    </row>
    <row r="5" spans="1:35" ht="25.35" customHeight="1">
      <c r="A5" s="332"/>
      <c r="B5" s="834" t="s">
        <v>2384</v>
      </c>
      <c r="C5" s="835"/>
      <c r="D5" s="835"/>
      <c r="E5" s="836"/>
      <c r="F5" s="836"/>
      <c r="G5" s="835"/>
      <c r="H5" s="837"/>
      <c r="I5" s="364"/>
      <c r="J5" s="364"/>
      <c r="K5" s="364"/>
      <c r="L5" s="364"/>
      <c r="M5" s="364"/>
      <c r="N5" s="365"/>
      <c r="O5" s="364"/>
      <c r="P5" s="364"/>
      <c r="Q5" s="364"/>
      <c r="R5" s="49"/>
      <c r="S5" s="49"/>
      <c r="T5" s="49"/>
      <c r="U5" s="364"/>
      <c r="V5" s="364"/>
      <c r="W5" s="364"/>
      <c r="X5" s="364"/>
      <c r="Y5" s="337"/>
      <c r="Z5" s="337"/>
    </row>
    <row r="6" spans="1:35" s="372" customFormat="1" ht="61.35" customHeight="1">
      <c r="A6" s="369"/>
      <c r="B6" s="366" t="s">
        <v>1502</v>
      </c>
      <c r="C6" s="48"/>
      <c r="D6" s="48" t="s">
        <v>1503</v>
      </c>
      <c r="E6" s="48" t="s">
        <v>1504</v>
      </c>
      <c r="F6" s="48"/>
      <c r="G6" s="48" t="s">
        <v>1505</v>
      </c>
      <c r="H6" s="48" t="s">
        <v>1506</v>
      </c>
      <c r="I6" s="48" t="s">
        <v>1507</v>
      </c>
      <c r="J6" s="48" t="s">
        <v>1508</v>
      </c>
      <c r="K6" s="48" t="s">
        <v>1509</v>
      </c>
      <c r="L6" s="48" t="s">
        <v>1510</v>
      </c>
      <c r="M6" s="366" t="s">
        <v>1511</v>
      </c>
      <c r="N6" s="48" t="s">
        <v>1512</v>
      </c>
      <c r="O6" s="48"/>
      <c r="P6" s="48" t="s">
        <v>3</v>
      </c>
      <c r="Q6" s="48" t="s">
        <v>4</v>
      </c>
      <c r="R6" s="48" t="s">
        <v>5</v>
      </c>
      <c r="S6" s="48" t="s">
        <v>1513</v>
      </c>
      <c r="T6" s="366" t="s">
        <v>1514</v>
      </c>
      <c r="U6" s="366" t="s">
        <v>6</v>
      </c>
      <c r="V6" s="366"/>
      <c r="W6" s="366"/>
      <c r="X6" s="366" t="s">
        <v>1515</v>
      </c>
      <c r="Y6" s="366" t="s">
        <v>7</v>
      </c>
      <c r="Z6" s="366" t="s">
        <v>1516</v>
      </c>
      <c r="AA6" s="370"/>
      <c r="AB6" s="371"/>
      <c r="AC6" s="371"/>
      <c r="AD6" s="371" t="s">
        <v>1517</v>
      </c>
      <c r="AE6" s="371"/>
      <c r="AF6" s="371"/>
      <c r="AG6" s="371" t="s">
        <v>1517</v>
      </c>
      <c r="AH6" s="371"/>
      <c r="AI6" s="371"/>
    </row>
    <row r="7" spans="1:35" ht="59.55" customHeight="1">
      <c r="A7" s="367" t="s">
        <v>1638</v>
      </c>
      <c r="B7" s="367" t="s">
        <v>8</v>
      </c>
      <c r="C7" s="684" t="s">
        <v>9</v>
      </c>
      <c r="D7" s="685" t="s">
        <v>10</v>
      </c>
      <c r="E7" s="685" t="s">
        <v>1230</v>
      </c>
      <c r="F7" s="685" t="s">
        <v>1485</v>
      </c>
      <c r="G7" s="686" t="s">
        <v>12</v>
      </c>
      <c r="H7" s="687" t="s">
        <v>13</v>
      </c>
      <c r="I7" s="688" t="s">
        <v>14</v>
      </c>
      <c r="J7" s="687" t="s">
        <v>1486</v>
      </c>
      <c r="K7" s="687" t="s">
        <v>1487</v>
      </c>
      <c r="L7" s="687" t="s">
        <v>15</v>
      </c>
      <c r="M7" s="687" t="s">
        <v>1488</v>
      </c>
      <c r="N7" s="689" t="s">
        <v>16</v>
      </c>
      <c r="O7" s="690" t="s">
        <v>17</v>
      </c>
      <c r="P7" s="690" t="s">
        <v>1228</v>
      </c>
      <c r="Q7" s="690" t="s">
        <v>1229</v>
      </c>
      <c r="R7" s="690" t="s">
        <v>18</v>
      </c>
      <c r="S7" s="690" t="s">
        <v>455</v>
      </c>
      <c r="T7" s="690" t="s">
        <v>1489</v>
      </c>
      <c r="U7" s="690" t="s">
        <v>19</v>
      </c>
      <c r="V7" s="690" t="s">
        <v>1490</v>
      </c>
      <c r="W7" s="690" t="s">
        <v>1491</v>
      </c>
      <c r="X7" s="690" t="s">
        <v>1492</v>
      </c>
      <c r="Y7" s="690" t="s">
        <v>20</v>
      </c>
      <c r="Z7" s="690" t="s">
        <v>21</v>
      </c>
      <c r="AA7" s="368" t="s">
        <v>1493</v>
      </c>
      <c r="AB7" s="690" t="s">
        <v>1494</v>
      </c>
      <c r="AC7" s="690" t="s">
        <v>1495</v>
      </c>
      <c r="AD7" s="690" t="s">
        <v>1496</v>
      </c>
      <c r="AE7" s="690" t="s">
        <v>1497</v>
      </c>
      <c r="AF7" s="690" t="s">
        <v>1498</v>
      </c>
      <c r="AG7" s="690" t="s">
        <v>1499</v>
      </c>
      <c r="AH7" s="690" t="s">
        <v>1500</v>
      </c>
      <c r="AI7" s="690" t="s">
        <v>1501</v>
      </c>
    </row>
    <row r="8" spans="1:35" s="334" customFormat="1" ht="90" customHeight="1">
      <c r="A8" s="373"/>
      <c r="B8" s="328" t="str">
        <f t="shared" ref="B8:B71" si="0">IF(U8="Closed","Closed - " &amp; IF(G8&lt;&gt;"","PR_" &amp; TEXT(ROW(G8)-7,"0000"),""), IF(G8&lt;&gt;"","PR_" &amp; TEXT(ROW(G8)-7,"0000"),""))</f>
        <v>Closed - PR_0001</v>
      </c>
      <c r="C8" s="328" t="s">
        <v>23</v>
      </c>
      <c r="D8" s="374" t="s">
        <v>1658</v>
      </c>
      <c r="E8" s="374" t="s">
        <v>1679</v>
      </c>
      <c r="F8" s="374"/>
      <c r="G8" s="373" t="s">
        <v>25</v>
      </c>
      <c r="H8" s="375" t="s">
        <v>26</v>
      </c>
      <c r="I8" s="374" t="s">
        <v>27</v>
      </c>
      <c r="J8" s="376"/>
      <c r="K8" s="376"/>
      <c r="L8" s="375" t="str">
        <f>IFERROR(VLOOKUP(CONCATENATE(J8,K8),'Risk matrix1'!$A$2:$C$26,2,FALSE),"")</f>
        <v/>
      </c>
      <c r="M8" s="375" t="s">
        <v>1518</v>
      </c>
      <c r="N8" s="354" t="s">
        <v>28</v>
      </c>
      <c r="O8" s="375" t="s">
        <v>29</v>
      </c>
      <c r="P8" s="374"/>
      <c r="Q8" s="374"/>
      <c r="R8" s="375" t="str">
        <f>IFERROR(VLOOKUP(CONCATENATE(P9,Q9),'Risk matrix1'!$A$2:$C$26,2,FALSE),"")</f>
        <v>Severe</v>
      </c>
      <c r="S8" s="375"/>
      <c r="T8" s="375" t="s">
        <v>1519</v>
      </c>
      <c r="U8" s="374" t="s">
        <v>38</v>
      </c>
      <c r="V8" s="374"/>
      <c r="W8" s="374"/>
      <c r="X8" s="374"/>
      <c r="Y8" s="377">
        <v>45896</v>
      </c>
      <c r="Z8" s="373" t="s">
        <v>1520</v>
      </c>
      <c r="AA8" s="392" t="str">
        <f t="shared" ref="AA8:AA41" si="1">IF(B8="","",IFERROR(IF(COUNTIF(rngCTRL_RiskRef,B8)&gt;0,"Yes" &amp; " - " &amp; COUNTIF(rngCTRL_RiskRef,B8),""),""))</f>
        <v/>
      </c>
      <c r="AB8" s="378"/>
      <c r="AC8" s="378" t="str">
        <f>_xlfn.LET(
  _xlpm.s, IFERROR(--_xlfn.TEXTBEFORE(K8,"/"), K8),
  _xlfn.XLOOKUP(_xlpm.s, 'RAD data'!$J$4:$J$8, 'RAD data'!$K$4:$K$8, "")
)</f>
        <v/>
      </c>
      <c r="AD8" s="661" t="str">
        <f t="shared" ref="AD8:AD39" si="2">IFERROR(SUM(AB8*AC8),"")</f>
        <v/>
      </c>
      <c r="AE8" s="378"/>
      <c r="AF8" s="378" t="str">
        <f>_xlfn.LET(
  _xlpm.s, IFERROR(--_xlfn.TEXTBEFORE(Q8,"/"), Q8),
  _xlfn.XLOOKUP(_xlpm.s, 'RAD data'!$J$4:$J$8, 'RAD data'!$K$4:$K$8, "")
)</f>
        <v/>
      </c>
      <c r="AG8" s="661" t="str">
        <f t="shared" ref="AG8:AG39" si="3">IFERROR(SUM(AE8*AF8),"")</f>
        <v/>
      </c>
      <c r="AH8" s="661" t="str">
        <f t="shared" ref="AH8:AH39" si="4">IFERROR(SUM(AD8-AG8),"")</f>
        <v/>
      </c>
      <c r="AI8" s="662" t="str">
        <f t="shared" ref="AI8:AI39" si="5">IFERROR(SUM(AH8/AD8),"")</f>
        <v/>
      </c>
    </row>
    <row r="9" spans="1:35" s="334" customFormat="1" ht="124.5" customHeight="1">
      <c r="A9" s="381"/>
      <c r="B9" s="384" t="str">
        <f>IF(U9="Closed","Closed - " &amp; IF(G9&lt;&gt;"","PR_" &amp; TEXT(ROW(G9)-7,"0000"),""), IF(G9&lt;&gt;"","PR_" &amp; TEXT(ROW(G9)-7,"0000"),""))</f>
        <v>PR_0002</v>
      </c>
      <c r="C9" s="384" t="s">
        <v>23</v>
      </c>
      <c r="D9" s="375" t="s">
        <v>1656</v>
      </c>
      <c r="E9" s="375" t="s">
        <v>1676</v>
      </c>
      <c r="F9" s="658">
        <v>44866</v>
      </c>
      <c r="G9" s="381" t="s">
        <v>1521</v>
      </c>
      <c r="H9" s="375" t="s">
        <v>34</v>
      </c>
      <c r="I9" s="375" t="s">
        <v>35</v>
      </c>
      <c r="J9" s="385">
        <v>5</v>
      </c>
      <c r="K9" s="385">
        <v>4</v>
      </c>
      <c r="L9" s="375" t="str">
        <f>IFERROR(VLOOKUP(CONCATENATE(J9,K9),'Risk matrix1'!$A$2:$C$26,2,FALSE),"")</f>
        <v>Severe</v>
      </c>
      <c r="M9" s="375" t="s">
        <v>1518</v>
      </c>
      <c r="N9" s="354" t="s">
        <v>2404</v>
      </c>
      <c r="O9" s="375" t="s">
        <v>41</v>
      </c>
      <c r="P9" s="375">
        <v>5</v>
      </c>
      <c r="Q9" s="375">
        <v>2</v>
      </c>
      <c r="R9" s="375" t="str">
        <f>IFERROR(VLOOKUP(CONCATENATE(P10,Q10),'Risk matrix1'!$A$2:$C$26,2,FALSE),"")</f>
        <v/>
      </c>
      <c r="S9" s="379" t="s">
        <v>69</v>
      </c>
      <c r="T9" s="375" t="s">
        <v>1519</v>
      </c>
      <c r="U9" s="375" t="s">
        <v>30</v>
      </c>
      <c r="V9" s="691"/>
      <c r="W9" s="691"/>
      <c r="X9" s="692"/>
      <c r="Y9" s="380"/>
      <c r="Z9" s="381"/>
      <c r="AA9" s="392" t="str">
        <f t="shared" si="1"/>
        <v/>
      </c>
      <c r="AB9" s="661">
        <v>15000000</v>
      </c>
      <c r="AC9" s="657">
        <f>_xlfn.LET(
  _xlpm.s, IFERROR(--_xlfn.TEXTBEFORE(K9,"/"), K9),
  _xlfn.XLOOKUP(_xlpm.s, 'RAD data'!$J$4:$J$8, 'RAD data'!$K$4:$K$8, "")
)</f>
        <v>0.8</v>
      </c>
      <c r="AD9" s="661">
        <f t="shared" si="2"/>
        <v>12000000</v>
      </c>
      <c r="AE9" s="661">
        <v>15000000</v>
      </c>
      <c r="AF9" s="657">
        <f>_xlfn.LET(
  _xlpm.s, IFERROR(--_xlfn.TEXTBEFORE(Q9,"/"), Q9),
  _xlfn.XLOOKUP(_xlpm.s, 'RAD data'!$J$4:$J$8, 'RAD data'!$K$4:$K$8, "")
)</f>
        <v>0.4</v>
      </c>
      <c r="AG9" s="661">
        <f t="shared" si="3"/>
        <v>6000000</v>
      </c>
      <c r="AH9" s="661">
        <f t="shared" si="4"/>
        <v>6000000</v>
      </c>
      <c r="AI9" s="662">
        <f t="shared" si="5"/>
        <v>0.5</v>
      </c>
    </row>
    <row r="10" spans="1:35" s="334" customFormat="1" ht="151.80000000000001">
      <c r="A10" s="381"/>
      <c r="B10" s="388" t="str">
        <f t="shared" si="0"/>
        <v>Closed - PR_0003</v>
      </c>
      <c r="C10" s="388"/>
      <c r="D10" s="374" t="s">
        <v>1656</v>
      </c>
      <c r="E10" s="375" t="s">
        <v>1676</v>
      </c>
      <c r="F10" s="375"/>
      <c r="G10" s="373" t="s">
        <v>37</v>
      </c>
      <c r="H10" s="374" t="s">
        <v>34</v>
      </c>
      <c r="I10" s="374" t="s">
        <v>35</v>
      </c>
      <c r="J10" s="376"/>
      <c r="K10" s="376"/>
      <c r="L10" s="375" t="str">
        <f>IFERROR(VLOOKUP(CONCATENATE(J10,K10),'Risk matrix1'!$A$2:$C$26,2,FALSE),"")</f>
        <v/>
      </c>
      <c r="M10" s="375"/>
      <c r="N10" s="359" t="s">
        <v>1523</v>
      </c>
      <c r="O10" s="374" t="s">
        <v>26</v>
      </c>
      <c r="P10" s="374"/>
      <c r="Q10" s="374"/>
      <c r="R10" s="375" t="str">
        <f>IFERROR(VLOOKUP(CONCATENATE(P11,Q11),'Risk matrix1'!$A$2:$C$26,2,FALSE),"")</f>
        <v/>
      </c>
      <c r="S10" s="375"/>
      <c r="T10" s="375"/>
      <c r="U10" s="375" t="s">
        <v>38</v>
      </c>
      <c r="V10" s="375"/>
      <c r="W10" s="375"/>
      <c r="X10" s="375"/>
      <c r="Y10" s="390">
        <v>45201</v>
      </c>
      <c r="Z10" s="381" t="s">
        <v>39</v>
      </c>
      <c r="AA10" s="392" t="str">
        <f t="shared" si="1"/>
        <v/>
      </c>
      <c r="AB10" s="693">
        <v>10000000</v>
      </c>
      <c r="AC10" s="378" t="str">
        <f>_xlfn.LET(
  _xlpm.s, IFERROR(--_xlfn.TEXTBEFORE(K10,"/"), K10),
  _xlfn.XLOOKUP(_xlpm.s, 'RAD data'!$J$4:$J$8, 'RAD data'!$K$4:$K$8, "")
)</f>
        <v/>
      </c>
      <c r="AD10" s="382" t="str">
        <f t="shared" si="2"/>
        <v/>
      </c>
      <c r="AE10" s="378"/>
      <c r="AF10" s="378" t="str">
        <f>_xlfn.LET(
  _xlpm.s, IFERROR(--_xlfn.TEXTBEFORE(Q10,"/"), Q10),
  _xlfn.XLOOKUP(_xlpm.s, 'RAD data'!$J$4:$J$8, 'RAD data'!$K$4:$K$8, "")
)</f>
        <v/>
      </c>
      <c r="AG10" s="382" t="str">
        <f t="shared" si="3"/>
        <v/>
      </c>
      <c r="AH10" s="382" t="str">
        <f t="shared" si="4"/>
        <v/>
      </c>
      <c r="AI10" s="383" t="str">
        <f t="shared" si="5"/>
        <v/>
      </c>
    </row>
    <row r="11" spans="1:35" s="334" customFormat="1" ht="89.25" customHeight="1">
      <c r="A11" s="353"/>
      <c r="B11" s="384" t="str">
        <f t="shared" si="0"/>
        <v>Closed - PR_0004</v>
      </c>
      <c r="C11" s="384" t="s">
        <v>23</v>
      </c>
      <c r="D11" s="375" t="s">
        <v>1656</v>
      </c>
      <c r="E11" s="375" t="s">
        <v>1676</v>
      </c>
      <c r="F11" s="375"/>
      <c r="G11" s="381" t="s">
        <v>1524</v>
      </c>
      <c r="H11" s="375" t="s">
        <v>26</v>
      </c>
      <c r="I11" s="375" t="s">
        <v>27</v>
      </c>
      <c r="J11" s="385"/>
      <c r="K11" s="385"/>
      <c r="L11" s="375" t="str">
        <f>IFERROR(VLOOKUP(CONCATENATE(J11,K11),'Risk matrix1'!$A$2:$C$26,2,FALSE),"")</f>
        <v/>
      </c>
      <c r="M11" s="375"/>
      <c r="N11" s="354" t="s">
        <v>1525</v>
      </c>
      <c r="O11" s="375" t="s">
        <v>26</v>
      </c>
      <c r="P11" s="375"/>
      <c r="Q11" s="375"/>
      <c r="R11" s="375" t="str">
        <f>IFERROR(VLOOKUP(CONCATENATE(P12,Q12),'Risk matrix1'!$A$2:$C$26,2,FALSE),"")</f>
        <v>Minor</v>
      </c>
      <c r="S11" s="375"/>
      <c r="T11" s="375"/>
      <c r="U11" s="375" t="s">
        <v>38</v>
      </c>
      <c r="V11" s="375"/>
      <c r="W11" s="375"/>
      <c r="X11" s="375"/>
      <c r="Y11" s="386">
        <v>45666</v>
      </c>
      <c r="Z11" s="381" t="s">
        <v>39</v>
      </c>
      <c r="AA11" s="392" t="str">
        <f t="shared" si="1"/>
        <v/>
      </c>
      <c r="AB11" s="378"/>
      <c r="AC11" s="378" t="str">
        <f>_xlfn.LET(
  _xlpm.s, IFERROR(--_xlfn.TEXTBEFORE(K11,"/"), K11),
  _xlfn.XLOOKUP(_xlpm.s, 'RAD data'!$J$4:$J$8, 'RAD data'!$K$4:$K$8, "")
)</f>
        <v/>
      </c>
      <c r="AD11" s="382" t="str">
        <f t="shared" si="2"/>
        <v/>
      </c>
      <c r="AE11" s="378"/>
      <c r="AF11" s="378" t="str">
        <f>_xlfn.LET(
  _xlpm.s, IFERROR(--_xlfn.TEXTBEFORE(Q11,"/"), Q11),
  _xlfn.XLOOKUP(_xlpm.s, 'RAD data'!$J$4:$J$8, 'RAD data'!$K$4:$K$8, "")
)</f>
        <v/>
      </c>
      <c r="AG11" s="382" t="str">
        <f t="shared" si="3"/>
        <v/>
      </c>
      <c r="AH11" s="382" t="str">
        <f t="shared" si="4"/>
        <v/>
      </c>
      <c r="AI11" s="383" t="str">
        <f t="shared" si="5"/>
        <v/>
      </c>
    </row>
    <row r="12" spans="1:35" s="334" customFormat="1" ht="110.4">
      <c r="A12" s="381"/>
      <c r="B12" s="384" t="str">
        <f>IF(U12="Closed","Closed - " &amp; IF(G12&lt;&gt;"","PR_" &amp; TEXT(ROW(G12)-7,"0000"),""), IF(G12&lt;&gt;"","PR_" &amp; TEXT(ROW(G12)-7,"0000"),""))</f>
        <v>PR_0005</v>
      </c>
      <c r="C12" s="384" t="s">
        <v>23</v>
      </c>
      <c r="D12" s="375" t="s">
        <v>1656</v>
      </c>
      <c r="E12" s="375" t="s">
        <v>1676</v>
      </c>
      <c r="F12" s="658">
        <v>44866</v>
      </c>
      <c r="G12" s="381" t="s">
        <v>1526</v>
      </c>
      <c r="H12" s="375" t="s">
        <v>26</v>
      </c>
      <c r="I12" s="375" t="s">
        <v>1527</v>
      </c>
      <c r="J12" s="385">
        <v>3</v>
      </c>
      <c r="K12" s="385">
        <v>3</v>
      </c>
      <c r="L12" s="375" t="str">
        <f>IFERROR(VLOOKUP(CONCATENATE(J12,K12),'Risk matrix1'!$A$2:$C$26,2,FALSE),"")</f>
        <v>Major</v>
      </c>
      <c r="M12" s="375" t="s">
        <v>1522</v>
      </c>
      <c r="N12" s="354" t="s">
        <v>1528</v>
      </c>
      <c r="O12" s="375" t="s">
        <v>41</v>
      </c>
      <c r="P12" s="375">
        <v>2</v>
      </c>
      <c r="Q12" s="375">
        <v>2</v>
      </c>
      <c r="R12" s="375" t="str">
        <f>IFERROR(VLOOKUP(CONCATENATE(P13,Q13),'Risk matrix1'!$A$2:$C$26,2,FALSE),"")</f>
        <v/>
      </c>
      <c r="S12" s="387" t="s">
        <v>254</v>
      </c>
      <c r="T12" s="375" t="s">
        <v>1519</v>
      </c>
      <c r="U12" s="375" t="s">
        <v>42</v>
      </c>
      <c r="V12" s="691"/>
      <c r="W12" s="691"/>
      <c r="X12" s="692"/>
      <c r="Y12" s="381"/>
      <c r="Z12" s="381"/>
      <c r="AA12" s="392" t="str">
        <f t="shared" si="1"/>
        <v/>
      </c>
      <c r="AB12" s="661">
        <v>5000000</v>
      </c>
      <c r="AC12" s="657">
        <f>_xlfn.LET(
  _xlpm.s, IFERROR(--_xlfn.TEXTBEFORE(K12,"/"), K12),
  _xlfn.XLOOKUP(_xlpm.s, 'RAD data'!$J$4:$J$8, 'RAD data'!$K$4:$K$8, "")
)</f>
        <v>0.6</v>
      </c>
      <c r="AD12" s="661">
        <f t="shared" si="2"/>
        <v>3000000</v>
      </c>
      <c r="AE12" s="661">
        <v>1000000</v>
      </c>
      <c r="AF12" s="657">
        <f>_xlfn.LET(
  _xlpm.s, IFERROR(--_xlfn.TEXTBEFORE(Q12,"/"), Q12),
  _xlfn.XLOOKUP(_xlpm.s, 'RAD data'!$J$4:$J$8, 'RAD data'!$K$4:$K$8, "")
)</f>
        <v>0.4</v>
      </c>
      <c r="AG12" s="661">
        <f t="shared" si="3"/>
        <v>400000</v>
      </c>
      <c r="AH12" s="661">
        <f t="shared" si="4"/>
        <v>2600000</v>
      </c>
      <c r="AI12" s="662">
        <f t="shared" si="5"/>
        <v>0.8666666666666667</v>
      </c>
    </row>
    <row r="13" spans="1:35" s="334" customFormat="1" ht="113.1" customHeight="1">
      <c r="A13" s="373"/>
      <c r="B13" s="328" t="str">
        <f t="shared" si="0"/>
        <v>Closed - PR_0006</v>
      </c>
      <c r="C13" s="328" t="s">
        <v>23</v>
      </c>
      <c r="D13" s="374" t="s">
        <v>1660</v>
      </c>
      <c r="E13" s="374" t="s">
        <v>1682</v>
      </c>
      <c r="F13" s="374"/>
      <c r="G13" s="373" t="s">
        <v>1392</v>
      </c>
      <c r="H13" s="374" t="s">
        <v>41</v>
      </c>
      <c r="I13" s="375" t="s">
        <v>27</v>
      </c>
      <c r="J13" s="376"/>
      <c r="K13" s="376"/>
      <c r="L13" s="375" t="str">
        <f>IFERROR(VLOOKUP(CONCATENATE(J13,K13),'Risk matrix1'!$A$2:$C$26,2,FALSE),"")</f>
        <v/>
      </c>
      <c r="M13" s="375"/>
      <c r="N13" s="354" t="s">
        <v>1393</v>
      </c>
      <c r="O13" s="374" t="s">
        <v>43</v>
      </c>
      <c r="P13" s="375"/>
      <c r="Q13" s="375"/>
      <c r="R13" s="375" t="str">
        <f>IFERROR(VLOOKUP(CONCATENATE(P14,Q14),'Risk matrix1'!$A$2:$C$26,2,FALSE),"")</f>
        <v/>
      </c>
      <c r="S13" s="375"/>
      <c r="T13" s="375"/>
      <c r="U13" s="374" t="s">
        <v>38</v>
      </c>
      <c r="V13" s="694"/>
      <c r="W13" s="694"/>
      <c r="X13" s="694"/>
      <c r="Y13" s="377">
        <v>45896</v>
      </c>
      <c r="Z13" s="373" t="s">
        <v>1520</v>
      </c>
      <c r="AA13" s="392" t="str">
        <f t="shared" si="1"/>
        <v/>
      </c>
      <c r="AB13" s="382">
        <v>0</v>
      </c>
      <c r="AC13" s="378" t="str">
        <f>_xlfn.LET(
  _xlpm.s, IFERROR(--_xlfn.TEXTBEFORE(K13,"/"), K13),
  _xlfn.XLOOKUP(_xlpm.s, 'RAD data'!$J$4:$J$8, 'RAD data'!$K$4:$K$8, "")
)</f>
        <v/>
      </c>
      <c r="AD13" s="382" t="str">
        <f t="shared" si="2"/>
        <v/>
      </c>
      <c r="AE13" s="382">
        <v>0</v>
      </c>
      <c r="AF13" s="378" t="str">
        <f>_xlfn.LET(
  _xlpm.s, IFERROR(--_xlfn.TEXTBEFORE(Q13,"/"), Q13),
  _xlfn.XLOOKUP(_xlpm.s, 'RAD data'!$J$4:$J$8, 'RAD data'!$K$4:$K$8, "")
)</f>
        <v/>
      </c>
      <c r="AG13" s="382" t="str">
        <f t="shared" si="3"/>
        <v/>
      </c>
      <c r="AH13" s="382" t="str">
        <f t="shared" si="4"/>
        <v/>
      </c>
      <c r="AI13" s="383" t="str">
        <f t="shared" si="5"/>
        <v/>
      </c>
    </row>
    <row r="14" spans="1:35" s="334" customFormat="1" ht="110.4">
      <c r="A14" s="373"/>
      <c r="B14" s="388" t="str">
        <f t="shared" si="0"/>
        <v>Closed - PR_0007</v>
      </c>
      <c r="C14" s="388"/>
      <c r="D14" s="374" t="s">
        <v>1662</v>
      </c>
      <c r="E14" s="374" t="s">
        <v>1673</v>
      </c>
      <c r="F14" s="374"/>
      <c r="G14" s="373" t="s">
        <v>1529</v>
      </c>
      <c r="H14" s="374" t="s">
        <v>26</v>
      </c>
      <c r="I14" s="375" t="s">
        <v>44</v>
      </c>
      <c r="J14" s="376"/>
      <c r="K14" s="376"/>
      <c r="L14" s="375" t="str">
        <f>IFERROR(VLOOKUP(CONCATENATE(J14,K14),'Risk matrix1'!$A$2:$C$26,2,FALSE),"")</f>
        <v/>
      </c>
      <c r="M14" s="375"/>
      <c r="N14" s="359" t="s">
        <v>1530</v>
      </c>
      <c r="O14" s="374" t="s">
        <v>26</v>
      </c>
      <c r="P14" s="375"/>
      <c r="Q14" s="375"/>
      <c r="R14" s="375" t="str">
        <f>IFERROR(VLOOKUP(CONCATENATE(P15,Q15),'Risk matrix1'!$A$2:$C$26,2,FALSE),"")</f>
        <v/>
      </c>
      <c r="S14" s="375"/>
      <c r="T14" s="375"/>
      <c r="U14" s="375" t="s">
        <v>38</v>
      </c>
      <c r="V14" s="694"/>
      <c r="W14" s="694"/>
      <c r="X14" s="694"/>
      <c r="Y14" s="380">
        <v>45215</v>
      </c>
      <c r="Z14" s="381" t="s">
        <v>1531</v>
      </c>
      <c r="AA14" s="392" t="str">
        <f t="shared" si="1"/>
        <v/>
      </c>
      <c r="AB14" s="378"/>
      <c r="AC14" s="378" t="str">
        <f>_xlfn.LET(
  _xlpm.s, IFERROR(--_xlfn.TEXTBEFORE(K14,"/"), K14),
  _xlfn.XLOOKUP(_xlpm.s, 'RAD data'!$J$4:$J$8, 'RAD data'!$K$4:$K$8, "")
)</f>
        <v/>
      </c>
      <c r="AD14" s="382" t="str">
        <f t="shared" si="2"/>
        <v/>
      </c>
      <c r="AE14" s="378"/>
      <c r="AF14" s="378" t="str">
        <f>_xlfn.LET(
  _xlpm.s, IFERROR(--_xlfn.TEXTBEFORE(Q14,"/"), Q14),
  _xlfn.XLOOKUP(_xlpm.s, 'RAD data'!$J$4:$J$8, 'RAD data'!$K$4:$K$8, "")
)</f>
        <v/>
      </c>
      <c r="AG14" s="382" t="str">
        <f t="shared" si="3"/>
        <v/>
      </c>
      <c r="AH14" s="382" t="str">
        <f t="shared" si="4"/>
        <v/>
      </c>
      <c r="AI14" s="383" t="str">
        <f t="shared" si="5"/>
        <v/>
      </c>
    </row>
    <row r="15" spans="1:35" s="334" customFormat="1" ht="182.55" customHeight="1">
      <c r="A15" s="373"/>
      <c r="B15" s="328" t="str">
        <f t="shared" si="0"/>
        <v>Closed - PR_0008</v>
      </c>
      <c r="C15" s="328" t="s">
        <v>23</v>
      </c>
      <c r="D15" s="375" t="s">
        <v>1662</v>
      </c>
      <c r="E15" s="374" t="s">
        <v>1673</v>
      </c>
      <c r="F15" s="374"/>
      <c r="G15" s="373" t="s">
        <v>1395</v>
      </c>
      <c r="H15" s="374" t="s">
        <v>26</v>
      </c>
      <c r="I15" s="375" t="s">
        <v>27</v>
      </c>
      <c r="J15" s="376"/>
      <c r="K15" s="376"/>
      <c r="L15" s="375" t="str">
        <f>IFERROR(VLOOKUP(CONCATENATE(J15,K15),'Risk matrix1'!$A$2:$C$26,2,FALSE),"")</f>
        <v/>
      </c>
      <c r="M15" s="375"/>
      <c r="N15" s="354" t="s">
        <v>1396</v>
      </c>
      <c r="O15" s="374" t="s">
        <v>43</v>
      </c>
      <c r="P15" s="375"/>
      <c r="Q15" s="375"/>
      <c r="R15" s="375" t="str">
        <f>IFERROR(VLOOKUP(CONCATENATE(P16,Q16),'Risk matrix1'!$A$2:$C$26,2,FALSE),"")</f>
        <v/>
      </c>
      <c r="S15" s="375"/>
      <c r="T15" s="375"/>
      <c r="U15" s="374" t="s">
        <v>38</v>
      </c>
      <c r="V15" s="694"/>
      <c r="W15" s="694"/>
      <c r="X15" s="694"/>
      <c r="Y15" s="377">
        <v>45896</v>
      </c>
      <c r="Z15" s="373" t="s">
        <v>1520</v>
      </c>
      <c r="AA15" s="392" t="str">
        <f t="shared" si="1"/>
        <v/>
      </c>
      <c r="AB15" s="382">
        <v>0</v>
      </c>
      <c r="AC15" s="378" t="str">
        <f>_xlfn.LET(
  _xlpm.s, IFERROR(--_xlfn.TEXTBEFORE(K15,"/"), K15),
  _xlfn.XLOOKUP(_xlpm.s, 'RAD data'!$J$4:$J$8, 'RAD data'!$K$4:$K$8, "")
)</f>
        <v/>
      </c>
      <c r="AD15" s="382" t="str">
        <f t="shared" si="2"/>
        <v/>
      </c>
      <c r="AE15" s="382">
        <v>0</v>
      </c>
      <c r="AF15" s="378" t="str">
        <f>_xlfn.LET(
  _xlpm.s, IFERROR(--_xlfn.TEXTBEFORE(Q15,"/"), Q15),
  _xlfn.XLOOKUP(_xlpm.s, 'RAD data'!$J$4:$J$8, 'RAD data'!$K$4:$K$8, "")
)</f>
        <v/>
      </c>
      <c r="AG15" s="382" t="str">
        <f t="shared" si="3"/>
        <v/>
      </c>
      <c r="AH15" s="382" t="str">
        <f t="shared" si="4"/>
        <v/>
      </c>
      <c r="AI15" s="383" t="str">
        <f t="shared" si="5"/>
        <v/>
      </c>
    </row>
    <row r="16" spans="1:35" s="334" customFormat="1" ht="98.85" customHeight="1">
      <c r="A16" s="373"/>
      <c r="B16" s="384" t="str">
        <f t="shared" si="0"/>
        <v>Closed - PR_0009</v>
      </c>
      <c r="C16" s="384" t="s">
        <v>45</v>
      </c>
      <c r="D16" s="375" t="s">
        <v>1662</v>
      </c>
      <c r="E16" s="375" t="s">
        <v>1673</v>
      </c>
      <c r="F16" s="375"/>
      <c r="G16" s="389" t="s">
        <v>1532</v>
      </c>
      <c r="H16" s="375" t="s">
        <v>26</v>
      </c>
      <c r="I16" s="375" t="s">
        <v>46</v>
      </c>
      <c r="J16" s="385"/>
      <c r="K16" s="385"/>
      <c r="L16" s="375" t="str">
        <f>IFERROR(VLOOKUP(CONCATENATE(J16,K16),'Risk matrix1'!$A$2:$C$26,2,FALSE),"")</f>
        <v/>
      </c>
      <c r="M16" s="375"/>
      <c r="N16" s="354" t="s">
        <v>1533</v>
      </c>
      <c r="O16" s="374" t="s">
        <v>43</v>
      </c>
      <c r="P16" s="375"/>
      <c r="Q16" s="375"/>
      <c r="R16" s="375" t="str">
        <f>IFERROR(VLOOKUP(CONCATENATE(P17,Q17),'Risk matrix1'!$A$2:$C$26,2,FALSE),"")</f>
        <v>Moderate</v>
      </c>
      <c r="S16" s="375"/>
      <c r="T16" s="375"/>
      <c r="U16" s="375" t="s">
        <v>38</v>
      </c>
      <c r="V16" s="694"/>
      <c r="W16" s="694"/>
      <c r="X16" s="694"/>
      <c r="Y16" s="390">
        <v>45481</v>
      </c>
      <c r="Z16" s="381" t="s">
        <v>26</v>
      </c>
      <c r="AA16" s="392" t="str">
        <f t="shared" si="1"/>
        <v/>
      </c>
      <c r="AB16" s="378"/>
      <c r="AC16" s="378" t="str">
        <f>_xlfn.LET(
  _xlpm.s, IFERROR(--_xlfn.TEXTBEFORE(K16,"/"), K16),
  _xlfn.XLOOKUP(_xlpm.s, 'RAD data'!$J$4:$J$8, 'RAD data'!$K$4:$K$8, "")
)</f>
        <v/>
      </c>
      <c r="AD16" s="382" t="str">
        <f t="shared" si="2"/>
        <v/>
      </c>
      <c r="AE16" s="378"/>
      <c r="AF16" s="378" t="str">
        <f>_xlfn.LET(
  _xlpm.s, IFERROR(--_xlfn.TEXTBEFORE(Q16,"/"), Q16),
  _xlfn.XLOOKUP(_xlpm.s, 'RAD data'!$J$4:$J$8, 'RAD data'!$K$4:$K$8, "")
)</f>
        <v/>
      </c>
      <c r="AG16" s="382" t="str">
        <f t="shared" si="3"/>
        <v/>
      </c>
      <c r="AH16" s="382" t="str">
        <f t="shared" si="4"/>
        <v/>
      </c>
      <c r="AI16" s="383" t="str">
        <f t="shared" si="5"/>
        <v/>
      </c>
    </row>
    <row r="17" spans="1:35" s="334" customFormat="1" ht="82.8">
      <c r="A17" s="381"/>
      <c r="B17" s="384" t="str">
        <f>IF(U17="Closed","Closed - " &amp; IF(G17&lt;&gt;"","PR_" &amp; TEXT(ROW(G17)-7,"0000"),""), IF(G17&lt;&gt;"","PR_" &amp; TEXT(ROW(G17)-7,"0000"),""))</f>
        <v>PR_0010</v>
      </c>
      <c r="C17" s="384" t="s">
        <v>23</v>
      </c>
      <c r="D17" s="375" t="s">
        <v>1694</v>
      </c>
      <c r="E17" s="375" t="s">
        <v>1695</v>
      </c>
      <c r="F17" s="658">
        <v>44866</v>
      </c>
      <c r="G17" s="359" t="s">
        <v>1534</v>
      </c>
      <c r="H17" s="375" t="s">
        <v>26</v>
      </c>
      <c r="I17" s="375" t="s">
        <v>47</v>
      </c>
      <c r="J17" s="385">
        <v>4</v>
      </c>
      <c r="K17" s="385">
        <v>2</v>
      </c>
      <c r="L17" s="375" t="str">
        <f>IFERROR(VLOOKUP(CONCATENATE(J17,K17),'Risk matrix1'!$A$2:$C$26,2,FALSE),"")</f>
        <v>Major</v>
      </c>
      <c r="M17" s="375" t="s">
        <v>1522</v>
      </c>
      <c r="N17" s="354" t="s">
        <v>1535</v>
      </c>
      <c r="O17" s="375" t="s">
        <v>41</v>
      </c>
      <c r="P17" s="375">
        <v>4</v>
      </c>
      <c r="Q17" s="375">
        <v>1</v>
      </c>
      <c r="R17" s="375" t="str">
        <f>IFERROR(VLOOKUP(CONCATENATE(P18,Q18),'Risk matrix1'!$A$2:$C$26,2,FALSE),"")</f>
        <v>Minor</v>
      </c>
      <c r="S17" s="391" t="s">
        <v>271</v>
      </c>
      <c r="T17" s="375" t="s">
        <v>1519</v>
      </c>
      <c r="U17" s="375" t="s">
        <v>42</v>
      </c>
      <c r="V17" s="691"/>
      <c r="W17" s="691"/>
      <c r="X17" s="692"/>
      <c r="Y17" s="381"/>
      <c r="Z17" s="381"/>
      <c r="AA17" s="392" t="str">
        <f t="shared" si="1"/>
        <v/>
      </c>
      <c r="AB17" s="661">
        <v>10000000</v>
      </c>
      <c r="AC17" s="657">
        <f>_xlfn.LET(
  _xlpm.s, IFERROR(--_xlfn.TEXTBEFORE(K17,"/"), K17),
  _xlfn.XLOOKUP(_xlpm.s, 'RAD data'!$J$4:$J$8, 'RAD data'!$K$4:$K$8, "")
)</f>
        <v>0.4</v>
      </c>
      <c r="AD17" s="661">
        <f t="shared" si="2"/>
        <v>4000000</v>
      </c>
      <c r="AE17" s="661">
        <v>10000000</v>
      </c>
      <c r="AF17" s="657">
        <f>_xlfn.LET(
  _xlpm.s, IFERROR(--_xlfn.TEXTBEFORE(Q17,"/"), Q17),
  _xlfn.XLOOKUP(_xlpm.s, 'RAD data'!$J$4:$J$8, 'RAD data'!$K$4:$K$8, "")
)</f>
        <v>0.2</v>
      </c>
      <c r="AG17" s="661">
        <f t="shared" si="3"/>
        <v>2000000</v>
      </c>
      <c r="AH17" s="661">
        <f t="shared" si="4"/>
        <v>2000000</v>
      </c>
      <c r="AI17" s="662">
        <f t="shared" si="5"/>
        <v>0.5</v>
      </c>
    </row>
    <row r="18" spans="1:35" s="334" customFormat="1" ht="124.2">
      <c r="A18" s="381"/>
      <c r="B18" s="384" t="str">
        <f>IF(U18="Closed","Closed - " &amp; IF(G18&lt;&gt;"","PR_" &amp; TEXT(ROW(G18)-7,"0000"),""), IF(G18&lt;&gt;"","PR_" &amp; TEXT(ROW(G18)-7,"0000"),""))</f>
        <v>PR_0011</v>
      </c>
      <c r="C18" s="384" t="s">
        <v>23</v>
      </c>
      <c r="D18" s="375" t="s">
        <v>1656</v>
      </c>
      <c r="E18" s="375" t="s">
        <v>1676</v>
      </c>
      <c r="F18" s="658">
        <v>44866</v>
      </c>
      <c r="G18" s="381" t="s">
        <v>1536</v>
      </c>
      <c r="H18" s="375" t="s">
        <v>26</v>
      </c>
      <c r="I18" s="375" t="s">
        <v>1527</v>
      </c>
      <c r="J18" s="385">
        <v>3</v>
      </c>
      <c r="K18" s="385">
        <v>3</v>
      </c>
      <c r="L18" s="375" t="str">
        <f>IFERROR(VLOOKUP(CONCATENATE(J18,K18),'Risk matrix1'!$A$2:$C$26,2,FALSE),"")</f>
        <v>Major</v>
      </c>
      <c r="M18" s="375" t="s">
        <v>1522</v>
      </c>
      <c r="N18" s="354" t="s">
        <v>1537</v>
      </c>
      <c r="O18" s="375" t="s">
        <v>41</v>
      </c>
      <c r="P18" s="375">
        <v>2</v>
      </c>
      <c r="Q18" s="375">
        <v>2</v>
      </c>
      <c r="R18" s="375" t="str">
        <f>IFERROR(VLOOKUP(CONCATENATE(P19,Q19),'Risk matrix1'!$A$2:$C$26,2,FALSE),"")</f>
        <v/>
      </c>
      <c r="S18" s="375" t="s">
        <v>255</v>
      </c>
      <c r="T18" s="375" t="s">
        <v>1538</v>
      </c>
      <c r="U18" s="375" t="s">
        <v>30</v>
      </c>
      <c r="V18" s="691"/>
      <c r="W18" s="691"/>
      <c r="X18" s="692"/>
      <c r="Y18" s="381"/>
      <c r="Z18" s="381"/>
      <c r="AA18" s="392" t="str">
        <f t="shared" si="1"/>
        <v/>
      </c>
      <c r="AB18" s="661">
        <v>5000000</v>
      </c>
      <c r="AC18" s="657">
        <f>_xlfn.LET(
  _xlpm.s, IFERROR(--_xlfn.TEXTBEFORE(K18,"/"), K18),
  _xlfn.XLOOKUP(_xlpm.s, 'RAD data'!$J$4:$J$8, 'RAD data'!$K$4:$K$8, "")
)</f>
        <v>0.6</v>
      </c>
      <c r="AD18" s="661">
        <f t="shared" si="2"/>
        <v>3000000</v>
      </c>
      <c r="AE18" s="661">
        <v>1000000</v>
      </c>
      <c r="AF18" s="657">
        <f>_xlfn.LET(
  _xlpm.s, IFERROR(--_xlfn.TEXTBEFORE(Q18,"/"), Q18),
  _xlfn.XLOOKUP(_xlpm.s, 'RAD data'!$J$4:$J$8, 'RAD data'!$K$4:$K$8, "")
)</f>
        <v>0.4</v>
      </c>
      <c r="AG18" s="661">
        <f t="shared" si="3"/>
        <v>400000</v>
      </c>
      <c r="AH18" s="661">
        <f t="shared" si="4"/>
        <v>2600000</v>
      </c>
      <c r="AI18" s="662">
        <f t="shared" si="5"/>
        <v>0.8666666666666667</v>
      </c>
    </row>
    <row r="19" spans="1:35" s="334" customFormat="1" ht="69">
      <c r="A19" s="353"/>
      <c r="B19" s="388" t="str">
        <f t="shared" si="0"/>
        <v>Closed - PR_0012</v>
      </c>
      <c r="C19" s="388"/>
      <c r="D19" s="374" t="s">
        <v>1694</v>
      </c>
      <c r="E19" s="374" t="s">
        <v>1695</v>
      </c>
      <c r="F19" s="374"/>
      <c r="G19" s="373" t="s">
        <v>1539</v>
      </c>
      <c r="H19" s="374" t="s">
        <v>26</v>
      </c>
      <c r="I19" s="374" t="s">
        <v>47</v>
      </c>
      <c r="J19" s="376"/>
      <c r="K19" s="376"/>
      <c r="L19" s="375" t="str">
        <f>IFERROR(VLOOKUP(CONCATENATE(J19,K19),'Risk matrix1'!$A$2:$C$26,2,FALSE),"")</f>
        <v/>
      </c>
      <c r="M19" s="375"/>
      <c r="N19" s="359" t="s">
        <v>1540</v>
      </c>
      <c r="O19" s="374" t="s">
        <v>48</v>
      </c>
      <c r="P19" s="375"/>
      <c r="Q19" s="375"/>
      <c r="R19" s="375" t="str">
        <f>IFERROR(VLOOKUP(CONCATENATE(P20,Q20),'Risk matrix1'!$A$2:$C$26,2,FALSE),"")</f>
        <v>Moderate</v>
      </c>
      <c r="S19" s="375"/>
      <c r="T19" s="375"/>
      <c r="U19" s="375" t="s">
        <v>38</v>
      </c>
      <c r="V19" s="694"/>
      <c r="W19" s="694"/>
      <c r="X19" s="694"/>
      <c r="Y19" s="390">
        <v>45155</v>
      </c>
      <c r="Z19" s="381" t="s">
        <v>39</v>
      </c>
      <c r="AA19" s="392" t="str">
        <f t="shared" si="1"/>
        <v/>
      </c>
      <c r="AB19" s="378"/>
      <c r="AC19" s="378" t="str">
        <f>_xlfn.LET(
  _xlpm.s, IFERROR(--_xlfn.TEXTBEFORE(K19,"/"), K19),
  _xlfn.XLOOKUP(_xlpm.s, 'RAD data'!$J$4:$J$8, 'RAD data'!$K$4:$K$8, "")
)</f>
        <v/>
      </c>
      <c r="AD19" s="382" t="str">
        <f t="shared" si="2"/>
        <v/>
      </c>
      <c r="AE19" s="378"/>
      <c r="AF19" s="378" t="str">
        <f>_xlfn.LET(
  _xlpm.s, IFERROR(--_xlfn.TEXTBEFORE(Q19,"/"), Q19),
  _xlfn.XLOOKUP(_xlpm.s, 'RAD data'!$J$4:$J$8, 'RAD data'!$K$4:$K$8, "")
)</f>
        <v/>
      </c>
      <c r="AG19" s="382" t="str">
        <f t="shared" si="3"/>
        <v/>
      </c>
      <c r="AH19" s="382" t="str">
        <f t="shared" si="4"/>
        <v/>
      </c>
      <c r="AI19" s="383" t="str">
        <f t="shared" si="5"/>
        <v/>
      </c>
    </row>
    <row r="20" spans="1:35" ht="99.75" customHeight="1">
      <c r="A20" s="381"/>
      <c r="B20" s="384" t="str">
        <f t="shared" si="0"/>
        <v>PR_0013</v>
      </c>
      <c r="C20" s="384" t="s">
        <v>23</v>
      </c>
      <c r="D20" s="375" t="s">
        <v>1660</v>
      </c>
      <c r="E20" s="375" t="s">
        <v>1682</v>
      </c>
      <c r="F20" s="658">
        <v>44866</v>
      </c>
      <c r="G20" s="381" t="s">
        <v>1541</v>
      </c>
      <c r="H20" s="375" t="s">
        <v>43</v>
      </c>
      <c r="I20" s="375" t="s">
        <v>49</v>
      </c>
      <c r="J20" s="385">
        <v>3</v>
      </c>
      <c r="K20" s="385">
        <v>3</v>
      </c>
      <c r="L20" s="375" t="str">
        <f>IFERROR(VLOOKUP(CONCATENATE(J20,K20),'Risk matrix1'!$A$2:$C$26,2,FALSE),"")</f>
        <v>Major</v>
      </c>
      <c r="M20" s="375" t="s">
        <v>1522</v>
      </c>
      <c r="N20" s="354" t="s">
        <v>1542</v>
      </c>
      <c r="O20" s="375" t="s">
        <v>2343</v>
      </c>
      <c r="P20" s="375">
        <v>3</v>
      </c>
      <c r="Q20" s="375">
        <v>2</v>
      </c>
      <c r="R20" s="375" t="str">
        <f>IFERROR(VLOOKUP(CONCATENATE(P21,Q21),'Risk matrix1'!$A$2:$C$26,2,FALSE),"")</f>
        <v/>
      </c>
      <c r="S20" s="375" t="s">
        <v>255</v>
      </c>
      <c r="T20" s="375"/>
      <c r="U20" s="375" t="s">
        <v>50</v>
      </c>
      <c r="V20" s="691"/>
      <c r="W20" s="691"/>
      <c r="X20" s="692" t="s">
        <v>2321</v>
      </c>
      <c r="Y20" s="390"/>
      <c r="Z20" s="381"/>
      <c r="AA20" s="392" t="str">
        <f t="shared" si="1"/>
        <v/>
      </c>
      <c r="AB20" s="661">
        <v>10000000</v>
      </c>
      <c r="AC20" s="657">
        <f>_xlfn.LET(
  _xlpm.s, IFERROR(--_xlfn.TEXTBEFORE(K20,"/"), K20),
  _xlfn.XLOOKUP(_xlpm.s, 'RAD data'!$J$4:$J$8, 'RAD data'!$K$4:$K$8, "")
)</f>
        <v>0.6</v>
      </c>
      <c r="AD20" s="661">
        <f t="shared" si="2"/>
        <v>6000000</v>
      </c>
      <c r="AE20" s="661">
        <v>1000000</v>
      </c>
      <c r="AF20" s="657">
        <f>_xlfn.LET(
  _xlpm.s, IFERROR(--_xlfn.TEXTBEFORE(Q20,"/"), Q20),
  _xlfn.XLOOKUP(_xlpm.s, 'RAD data'!$J$4:$J$8, 'RAD data'!$K$4:$K$8, "")
)</f>
        <v>0.4</v>
      </c>
      <c r="AG20" s="661">
        <f t="shared" si="3"/>
        <v>400000</v>
      </c>
      <c r="AH20" s="661">
        <f t="shared" si="4"/>
        <v>5600000</v>
      </c>
      <c r="AI20" s="662">
        <f t="shared" si="5"/>
        <v>0.93333333333333335</v>
      </c>
    </row>
    <row r="21" spans="1:35" ht="43.5" customHeight="1">
      <c r="A21" s="373"/>
      <c r="B21" s="388" t="str">
        <f t="shared" si="0"/>
        <v>Closed - PR_0014</v>
      </c>
      <c r="C21" s="388"/>
      <c r="D21" s="374" t="s">
        <v>1658</v>
      </c>
      <c r="E21" s="374" t="s">
        <v>1679</v>
      </c>
      <c r="F21" s="374"/>
      <c r="G21" s="381" t="s">
        <v>1543</v>
      </c>
      <c r="H21" s="374" t="s">
        <v>26</v>
      </c>
      <c r="I21" s="374" t="s">
        <v>47</v>
      </c>
      <c r="J21" s="376"/>
      <c r="K21" s="376"/>
      <c r="L21" s="375" t="str">
        <f>IFERROR(VLOOKUP(CONCATENATE(J21,K21),'Risk matrix1'!$A$2:$C$26,2,FALSE),"")</f>
        <v/>
      </c>
      <c r="M21" s="375"/>
      <c r="N21" s="359" t="s">
        <v>1544</v>
      </c>
      <c r="O21" s="374" t="s">
        <v>43</v>
      </c>
      <c r="P21" s="375"/>
      <c r="Q21" s="375"/>
      <c r="R21" s="375" t="str">
        <f>IFERROR(VLOOKUP(CONCATENATE(P22,Q22),'Risk matrix1'!$A$2:$C$26,2,FALSE),"")</f>
        <v/>
      </c>
      <c r="S21" s="375"/>
      <c r="T21" s="375"/>
      <c r="U21" s="375" t="s">
        <v>38</v>
      </c>
      <c r="V21" s="694"/>
      <c r="W21" s="694"/>
      <c r="X21" s="694"/>
      <c r="Y21" s="390">
        <v>45215</v>
      </c>
      <c r="Z21" s="381" t="s">
        <v>1531</v>
      </c>
      <c r="AA21" s="392" t="str">
        <f t="shared" si="1"/>
        <v/>
      </c>
      <c r="AB21" s="373"/>
      <c r="AC21" s="378" t="str">
        <f>_xlfn.LET(
  _xlpm.s, IFERROR(--_xlfn.TEXTBEFORE(K21,"/"), K21),
  _xlfn.XLOOKUP(_xlpm.s, 'RAD data'!$J$4:$J$8, 'RAD data'!$K$4:$K$8, "")
)</f>
        <v/>
      </c>
      <c r="AD21" s="695" t="str">
        <f t="shared" si="2"/>
        <v/>
      </c>
      <c r="AE21" s="373"/>
      <c r="AF21" s="378" t="str">
        <f>_xlfn.LET(
  _xlpm.s, IFERROR(--_xlfn.TEXTBEFORE(Q21,"/"), Q21),
  _xlfn.XLOOKUP(_xlpm.s, 'RAD data'!$J$4:$J$8, 'RAD data'!$K$4:$K$8, "")
)</f>
        <v/>
      </c>
      <c r="AG21" s="695" t="str">
        <f t="shared" si="3"/>
        <v/>
      </c>
      <c r="AH21" s="695" t="str">
        <f t="shared" si="4"/>
        <v/>
      </c>
      <c r="AI21" s="696" t="str">
        <f t="shared" si="5"/>
        <v/>
      </c>
    </row>
    <row r="22" spans="1:35" ht="134.85" customHeight="1">
      <c r="A22" s="373"/>
      <c r="B22" s="328" t="str">
        <f t="shared" si="0"/>
        <v>Closed - PR_0015</v>
      </c>
      <c r="C22" s="328" t="s">
        <v>23</v>
      </c>
      <c r="D22" s="374" t="s">
        <v>1340</v>
      </c>
      <c r="E22" s="374" t="s">
        <v>1691</v>
      </c>
      <c r="F22" s="374"/>
      <c r="G22" s="373" t="s">
        <v>1398</v>
      </c>
      <c r="H22" s="374" t="s">
        <v>26</v>
      </c>
      <c r="I22" s="374" t="s">
        <v>27</v>
      </c>
      <c r="J22" s="376"/>
      <c r="K22" s="376"/>
      <c r="L22" s="375" t="str">
        <f>IFERROR(VLOOKUP(CONCATENATE(J22,K22),'Risk matrix1'!$A$2:$C$26,2,FALSE),"")</f>
        <v/>
      </c>
      <c r="M22" s="375"/>
      <c r="N22" s="354" t="s">
        <v>1399</v>
      </c>
      <c r="O22" s="375" t="s">
        <v>48</v>
      </c>
      <c r="P22" s="375"/>
      <c r="Q22" s="375"/>
      <c r="R22" s="375" t="str">
        <f>IFERROR(VLOOKUP(CONCATENATE(P23,Q23),'Risk matrix1'!$A$2:$C$26,2,FALSE),"")</f>
        <v/>
      </c>
      <c r="S22" s="375"/>
      <c r="T22" s="375"/>
      <c r="U22" s="374" t="s">
        <v>38</v>
      </c>
      <c r="V22" s="694"/>
      <c r="W22" s="694"/>
      <c r="X22" s="694"/>
      <c r="Y22" s="377">
        <v>45896</v>
      </c>
      <c r="Z22" s="373" t="s">
        <v>1520</v>
      </c>
      <c r="AA22" s="392" t="str">
        <f t="shared" si="1"/>
        <v/>
      </c>
      <c r="AB22" s="382">
        <v>0</v>
      </c>
      <c r="AC22" s="378" t="str">
        <f>_xlfn.LET(
  _xlpm.s, IFERROR(--_xlfn.TEXTBEFORE(K22,"/"), K22),
  _xlfn.XLOOKUP(_xlpm.s, 'RAD data'!$J$4:$J$8, 'RAD data'!$K$4:$K$8, "")
)</f>
        <v/>
      </c>
      <c r="AD22" s="382" t="str">
        <f t="shared" si="2"/>
        <v/>
      </c>
      <c r="AE22" s="382">
        <v>0</v>
      </c>
      <c r="AF22" s="378" t="str">
        <f>_xlfn.LET(
  _xlpm.s, IFERROR(--_xlfn.TEXTBEFORE(Q22,"/"), Q22),
  _xlfn.XLOOKUP(_xlpm.s, 'RAD data'!$J$4:$J$8, 'RAD data'!$K$4:$K$8, "")
)</f>
        <v/>
      </c>
      <c r="AG22" s="382" t="str">
        <f t="shared" si="3"/>
        <v/>
      </c>
      <c r="AH22" s="382" t="str">
        <f t="shared" si="4"/>
        <v/>
      </c>
      <c r="AI22" s="383" t="str">
        <f t="shared" si="5"/>
        <v/>
      </c>
    </row>
    <row r="23" spans="1:35" s="334" customFormat="1" ht="151.80000000000001">
      <c r="A23" s="373"/>
      <c r="B23" s="388" t="str">
        <f t="shared" si="0"/>
        <v>Closed - PR_0016</v>
      </c>
      <c r="C23" s="388"/>
      <c r="D23" s="374" t="s">
        <v>1662</v>
      </c>
      <c r="E23" s="374" t="s">
        <v>1673</v>
      </c>
      <c r="F23" s="374"/>
      <c r="G23" s="373" t="s">
        <v>1545</v>
      </c>
      <c r="H23" s="374" t="s">
        <v>26</v>
      </c>
      <c r="I23" s="374" t="s">
        <v>51</v>
      </c>
      <c r="J23" s="376"/>
      <c r="K23" s="376"/>
      <c r="L23" s="375" t="str">
        <f>IFERROR(VLOOKUP(CONCATENATE(J23,K23),'Risk matrix1'!$A$2:$C$26,2,FALSE),"")</f>
        <v/>
      </c>
      <c r="M23" s="375"/>
      <c r="N23" s="359" t="s">
        <v>1546</v>
      </c>
      <c r="O23" s="375" t="s">
        <v>26</v>
      </c>
      <c r="P23" s="375"/>
      <c r="Q23" s="375"/>
      <c r="R23" s="375" t="str">
        <f>IFERROR(VLOOKUP(CONCATENATE(P24,Q24),'Risk matrix1'!$A$2:$C$26,2,FALSE),"")</f>
        <v/>
      </c>
      <c r="S23" s="375"/>
      <c r="T23" s="375"/>
      <c r="U23" s="375" t="s">
        <v>38</v>
      </c>
      <c r="V23" s="694"/>
      <c r="W23" s="694"/>
      <c r="X23" s="694"/>
      <c r="Y23" s="390">
        <v>45155</v>
      </c>
      <c r="Z23" s="381"/>
      <c r="AA23" s="392" t="str">
        <f t="shared" si="1"/>
        <v/>
      </c>
      <c r="AB23" s="378"/>
      <c r="AC23" s="378" t="str">
        <f>_xlfn.LET(
  _xlpm.s, IFERROR(--_xlfn.TEXTBEFORE(K23,"/"), K23),
  _xlfn.XLOOKUP(_xlpm.s, 'RAD data'!$J$4:$J$8, 'RAD data'!$K$4:$K$8, "")
)</f>
        <v/>
      </c>
      <c r="AD23" s="382" t="str">
        <f t="shared" si="2"/>
        <v/>
      </c>
      <c r="AE23" s="378"/>
      <c r="AF23" s="378" t="str">
        <f>_xlfn.LET(
  _xlpm.s, IFERROR(--_xlfn.TEXTBEFORE(Q23,"/"), Q23),
  _xlfn.XLOOKUP(_xlpm.s, 'RAD data'!$J$4:$J$8, 'RAD data'!$K$4:$K$8, "")
)</f>
        <v/>
      </c>
      <c r="AG23" s="382" t="str">
        <f t="shared" si="3"/>
        <v/>
      </c>
      <c r="AH23" s="382" t="str">
        <f t="shared" si="4"/>
        <v/>
      </c>
      <c r="AI23" s="383" t="str">
        <f t="shared" si="5"/>
        <v/>
      </c>
    </row>
    <row r="24" spans="1:35" s="334" customFormat="1" ht="99" customHeight="1">
      <c r="A24" s="373"/>
      <c r="B24" s="328" t="str">
        <f t="shared" si="0"/>
        <v>Closed - PR_0017</v>
      </c>
      <c r="C24" s="328" t="s">
        <v>23</v>
      </c>
      <c r="D24" s="374" t="s">
        <v>1662</v>
      </c>
      <c r="E24" s="374" t="s">
        <v>1673</v>
      </c>
      <c r="F24" s="374"/>
      <c r="G24" s="373" t="s">
        <v>1401</v>
      </c>
      <c r="H24" s="374" t="s">
        <v>26</v>
      </c>
      <c r="I24" s="374" t="s">
        <v>51</v>
      </c>
      <c r="J24" s="376"/>
      <c r="K24" s="376"/>
      <c r="L24" s="375" t="str">
        <f>IFERROR(VLOOKUP(CONCATENATE(J24,K24),'Risk matrix1'!$A$2:$C$26,2,FALSE),"")</f>
        <v/>
      </c>
      <c r="M24" s="375"/>
      <c r="N24" s="354" t="s">
        <v>1402</v>
      </c>
      <c r="O24" s="374" t="s">
        <v>48</v>
      </c>
      <c r="P24" s="375"/>
      <c r="Q24" s="375"/>
      <c r="R24" s="375" t="str">
        <f>IFERROR(VLOOKUP(CONCATENATE(P25,Q25),'Risk matrix1'!$A$2:$C$26,2,FALSE),"")</f>
        <v/>
      </c>
      <c r="S24" s="375"/>
      <c r="T24" s="375"/>
      <c r="U24" s="374" t="s">
        <v>38</v>
      </c>
      <c r="V24" s="694"/>
      <c r="W24" s="694"/>
      <c r="X24" s="694"/>
      <c r="Y24" s="377">
        <v>45896</v>
      </c>
      <c r="Z24" s="373" t="s">
        <v>1520</v>
      </c>
      <c r="AA24" s="392" t="str">
        <f t="shared" si="1"/>
        <v/>
      </c>
      <c r="AB24" s="382">
        <v>0</v>
      </c>
      <c r="AC24" s="378" t="str">
        <f>_xlfn.LET(
  _xlpm.s, IFERROR(--_xlfn.TEXTBEFORE(K24,"/"), K24),
  _xlfn.XLOOKUP(_xlpm.s, 'RAD data'!$J$4:$J$8, 'RAD data'!$K$4:$K$8, "")
)</f>
        <v/>
      </c>
      <c r="AD24" s="382" t="str">
        <f t="shared" si="2"/>
        <v/>
      </c>
      <c r="AE24" s="382">
        <v>0</v>
      </c>
      <c r="AF24" s="378" t="str">
        <f>_xlfn.LET(
  _xlpm.s, IFERROR(--_xlfn.TEXTBEFORE(Q24,"/"), Q24),
  _xlfn.XLOOKUP(_xlpm.s, 'RAD data'!$J$4:$J$8, 'RAD data'!$K$4:$K$8, "")
)</f>
        <v/>
      </c>
      <c r="AG24" s="382" t="str">
        <f t="shared" si="3"/>
        <v/>
      </c>
      <c r="AH24" s="382" t="str">
        <f t="shared" si="4"/>
        <v/>
      </c>
      <c r="AI24" s="383" t="str">
        <f t="shared" si="5"/>
        <v/>
      </c>
    </row>
    <row r="25" spans="1:35" ht="100.35" customHeight="1">
      <c r="A25" s="373"/>
      <c r="B25" s="328" t="str">
        <f t="shared" si="0"/>
        <v>Closed - PR_0018</v>
      </c>
      <c r="C25" s="328" t="s">
        <v>23</v>
      </c>
      <c r="D25" s="374" t="s">
        <v>1658</v>
      </c>
      <c r="E25" s="374" t="s">
        <v>1679</v>
      </c>
      <c r="F25" s="374"/>
      <c r="G25" s="373" t="s">
        <v>1547</v>
      </c>
      <c r="H25" s="374" t="s">
        <v>26</v>
      </c>
      <c r="I25" s="374" t="s">
        <v>47</v>
      </c>
      <c r="J25" s="376"/>
      <c r="K25" s="376"/>
      <c r="L25" s="375" t="str">
        <f>IFERROR(VLOOKUP(CONCATENATE(J25,K25),'Risk matrix1'!$A$2:$C$26,2,FALSE),"")</f>
        <v/>
      </c>
      <c r="M25" s="375"/>
      <c r="N25" s="354" t="s">
        <v>1548</v>
      </c>
      <c r="O25" s="374" t="s">
        <v>48</v>
      </c>
      <c r="P25" s="375"/>
      <c r="Q25" s="375"/>
      <c r="R25" s="375" t="str">
        <f>IFERROR(VLOOKUP(CONCATENATE(P26,Q26),'Risk matrix1'!$A$2:$C$26,2,FALSE),"")</f>
        <v/>
      </c>
      <c r="S25" s="375"/>
      <c r="T25" s="375"/>
      <c r="U25" s="375" t="s">
        <v>38</v>
      </c>
      <c r="V25" s="694"/>
      <c r="W25" s="694"/>
      <c r="X25" s="694"/>
      <c r="Y25" s="390">
        <v>45677</v>
      </c>
      <c r="Z25" s="381" t="s">
        <v>52</v>
      </c>
      <c r="AA25" s="392" t="str">
        <f t="shared" si="1"/>
        <v/>
      </c>
      <c r="AB25" s="373"/>
      <c r="AC25" s="378" t="str">
        <f>_xlfn.LET(
  _xlpm.s, IFERROR(--_xlfn.TEXTBEFORE(K25,"/"), K25),
  _xlfn.XLOOKUP(_xlpm.s, 'RAD data'!$J$4:$J$8, 'RAD data'!$K$4:$K$8, "")
)</f>
        <v/>
      </c>
      <c r="AD25" s="695" t="str">
        <f t="shared" si="2"/>
        <v/>
      </c>
      <c r="AE25" s="373"/>
      <c r="AF25" s="378" t="str">
        <f>_xlfn.LET(
  _xlpm.s, IFERROR(--_xlfn.TEXTBEFORE(Q25,"/"), Q25),
  _xlfn.XLOOKUP(_xlpm.s, 'RAD data'!$J$4:$J$8, 'RAD data'!$K$4:$K$8, "")
)</f>
        <v/>
      </c>
      <c r="AG25" s="695" t="str">
        <f t="shared" si="3"/>
        <v/>
      </c>
      <c r="AH25" s="695" t="str">
        <f t="shared" si="4"/>
        <v/>
      </c>
      <c r="AI25" s="696" t="str">
        <f t="shared" si="5"/>
        <v/>
      </c>
    </row>
    <row r="26" spans="1:35" s="334" customFormat="1" ht="90.75" customHeight="1">
      <c r="A26" s="373"/>
      <c r="B26" s="328" t="str">
        <f t="shared" si="0"/>
        <v>Closed - PR_0019</v>
      </c>
      <c r="C26" s="328" t="s">
        <v>23</v>
      </c>
      <c r="D26" s="374" t="s">
        <v>1662</v>
      </c>
      <c r="E26" s="374" t="s">
        <v>1673</v>
      </c>
      <c r="F26" s="374"/>
      <c r="G26" s="373" t="s">
        <v>1404</v>
      </c>
      <c r="H26" s="374" t="s">
        <v>26</v>
      </c>
      <c r="I26" s="374" t="s">
        <v>51</v>
      </c>
      <c r="J26" s="376"/>
      <c r="K26" s="376"/>
      <c r="L26" s="375" t="str">
        <f>IFERROR(VLOOKUP(CONCATENATE(J26,K26),'Risk matrix1'!$A$2:$C$26,2,FALSE),"")</f>
        <v/>
      </c>
      <c r="M26" s="375"/>
      <c r="N26" s="354" t="s">
        <v>1405</v>
      </c>
      <c r="O26" s="374" t="s">
        <v>43</v>
      </c>
      <c r="P26" s="375"/>
      <c r="Q26" s="375"/>
      <c r="R26" s="375" t="str">
        <f>IFERROR(VLOOKUP(CONCATENATE(P27,Q27),'Risk matrix1'!$A$2:$C$26,2,FALSE),"")</f>
        <v/>
      </c>
      <c r="S26" s="375"/>
      <c r="T26" s="375"/>
      <c r="U26" s="374" t="s">
        <v>38</v>
      </c>
      <c r="V26" s="694"/>
      <c r="W26" s="694"/>
      <c r="X26" s="694"/>
      <c r="Y26" s="377">
        <v>45896</v>
      </c>
      <c r="Z26" s="373" t="s">
        <v>1520</v>
      </c>
      <c r="AA26" s="392" t="str">
        <f t="shared" si="1"/>
        <v/>
      </c>
      <c r="AB26" s="382">
        <v>0</v>
      </c>
      <c r="AC26" s="378" t="str">
        <f>_xlfn.LET(
  _xlpm.s, IFERROR(--_xlfn.TEXTBEFORE(K26,"/"), K26),
  _xlfn.XLOOKUP(_xlpm.s, 'RAD data'!$J$4:$J$8, 'RAD data'!$K$4:$K$8, "")
)</f>
        <v/>
      </c>
      <c r="AD26" s="382" t="str">
        <f t="shared" si="2"/>
        <v/>
      </c>
      <c r="AE26" s="382">
        <v>0</v>
      </c>
      <c r="AF26" s="378" t="str">
        <f>_xlfn.LET(
  _xlpm.s, IFERROR(--_xlfn.TEXTBEFORE(Q26,"/"), Q26),
  _xlfn.XLOOKUP(_xlpm.s, 'RAD data'!$J$4:$J$8, 'RAD data'!$K$4:$K$8, "")
)</f>
        <v/>
      </c>
      <c r="AG26" s="382" t="str">
        <f t="shared" si="3"/>
        <v/>
      </c>
      <c r="AH26" s="382" t="str">
        <f t="shared" si="4"/>
        <v/>
      </c>
      <c r="AI26" s="383" t="str">
        <f t="shared" si="5"/>
        <v/>
      </c>
    </row>
    <row r="27" spans="1:35" ht="179.4">
      <c r="A27" s="373"/>
      <c r="B27" s="328" t="str">
        <f t="shared" si="0"/>
        <v>Closed - PR_0020</v>
      </c>
      <c r="C27" s="328" t="s">
        <v>23</v>
      </c>
      <c r="D27" s="374" t="s">
        <v>1652</v>
      </c>
      <c r="E27" s="375" t="s">
        <v>1688</v>
      </c>
      <c r="F27" s="375"/>
      <c r="G27" s="373" t="s">
        <v>1549</v>
      </c>
      <c r="H27" s="375" t="s">
        <v>26</v>
      </c>
      <c r="I27" s="374" t="s">
        <v>53</v>
      </c>
      <c r="J27" s="385"/>
      <c r="K27" s="385"/>
      <c r="L27" s="375" t="str">
        <f>IFERROR(VLOOKUP(CONCATENATE(J27,K27),'Risk matrix1'!$A$2:$C$26,2,FALSE),"")</f>
        <v/>
      </c>
      <c r="M27" s="375"/>
      <c r="N27" s="355" t="s">
        <v>1550</v>
      </c>
      <c r="O27" s="374" t="s">
        <v>43</v>
      </c>
      <c r="P27" s="375"/>
      <c r="Q27" s="375"/>
      <c r="R27" s="375" t="str">
        <f>IFERROR(VLOOKUP(CONCATENATE(P28,Q28),'Risk matrix1'!$A$2:$C$26,2,FALSE),"")</f>
        <v/>
      </c>
      <c r="S27" s="375"/>
      <c r="T27" s="375"/>
      <c r="U27" s="375" t="s">
        <v>38</v>
      </c>
      <c r="V27" s="694"/>
      <c r="W27" s="694"/>
      <c r="X27" s="694"/>
      <c r="Y27" s="390">
        <v>45882</v>
      </c>
      <c r="Z27" s="381" t="s">
        <v>1551</v>
      </c>
      <c r="AA27" s="392" t="str">
        <f t="shared" si="1"/>
        <v/>
      </c>
      <c r="AB27" s="382">
        <v>0</v>
      </c>
      <c r="AC27" s="378" t="str">
        <f>_xlfn.LET(
  _xlpm.s, IFERROR(--_xlfn.TEXTBEFORE(K27,"/"), K27),
  _xlfn.XLOOKUP(_xlpm.s, 'RAD data'!$J$4:$J$8, 'RAD data'!$K$4:$K$8, "")
)</f>
        <v/>
      </c>
      <c r="AD27" s="382" t="str">
        <f t="shared" si="2"/>
        <v/>
      </c>
      <c r="AE27" s="382">
        <v>0</v>
      </c>
      <c r="AF27" s="378" t="str">
        <f>_xlfn.LET(
  _xlpm.s, IFERROR(--_xlfn.TEXTBEFORE(Q27,"/"), Q27),
  _xlfn.XLOOKUP(_xlpm.s, 'RAD data'!$J$4:$J$8, 'RAD data'!$K$4:$K$8, "")
)</f>
        <v/>
      </c>
      <c r="AG27" s="382" t="str">
        <f t="shared" si="3"/>
        <v/>
      </c>
      <c r="AH27" s="382" t="str">
        <f t="shared" si="4"/>
        <v/>
      </c>
      <c r="AI27" s="383" t="str">
        <f t="shared" si="5"/>
        <v/>
      </c>
    </row>
    <row r="28" spans="1:35" ht="138">
      <c r="A28" s="353"/>
      <c r="B28" s="328" t="str">
        <f t="shared" si="0"/>
        <v>Closed - PR_0021</v>
      </c>
      <c r="C28" s="328" t="s">
        <v>23</v>
      </c>
      <c r="D28" s="374" t="s">
        <v>1694</v>
      </c>
      <c r="E28" s="375" t="s">
        <v>1695</v>
      </c>
      <c r="F28" s="375"/>
      <c r="G28" s="381" t="s">
        <v>1552</v>
      </c>
      <c r="H28" s="375" t="s">
        <v>26</v>
      </c>
      <c r="I28" s="374" t="s">
        <v>27</v>
      </c>
      <c r="J28" s="385"/>
      <c r="K28" s="385"/>
      <c r="L28" s="375" t="str">
        <f>IFERROR(VLOOKUP(CONCATENATE(J28,K28),'Risk matrix1'!$A$2:$C$26,2,FALSE),"")</f>
        <v/>
      </c>
      <c r="M28" s="375"/>
      <c r="N28" s="354" t="s">
        <v>1553</v>
      </c>
      <c r="O28" s="374" t="s">
        <v>41</v>
      </c>
      <c r="P28" s="375"/>
      <c r="Q28" s="375"/>
      <c r="R28" s="375" t="str">
        <f>IFERROR(VLOOKUP(CONCATENATE(P29,Q29),'Risk matrix1'!$A$2:$C$26,2,FALSE),"")</f>
        <v/>
      </c>
      <c r="S28" s="375"/>
      <c r="T28" s="375"/>
      <c r="U28" s="375" t="s">
        <v>38</v>
      </c>
      <c r="V28" s="694"/>
      <c r="W28" s="694"/>
      <c r="X28" s="694"/>
      <c r="Y28" s="390">
        <v>45666</v>
      </c>
      <c r="Z28" s="381" t="s">
        <v>39</v>
      </c>
      <c r="AA28" s="392" t="str">
        <f t="shared" si="1"/>
        <v/>
      </c>
      <c r="AB28" s="373"/>
      <c r="AC28" s="378" t="str">
        <f>_xlfn.LET(
  _xlpm.s, IFERROR(--_xlfn.TEXTBEFORE(K28,"/"), K28),
  _xlfn.XLOOKUP(_xlpm.s, 'RAD data'!$J$4:$J$8, 'RAD data'!$K$4:$K$8, "")
)</f>
        <v/>
      </c>
      <c r="AD28" s="695" t="str">
        <f t="shared" si="2"/>
        <v/>
      </c>
      <c r="AE28" s="373"/>
      <c r="AF28" s="378" t="str">
        <f>_xlfn.LET(
  _xlpm.s, IFERROR(--_xlfn.TEXTBEFORE(Q28,"/"), Q28),
  _xlfn.XLOOKUP(_xlpm.s, 'RAD data'!$J$4:$J$8, 'RAD data'!$K$4:$K$8, "")
)</f>
        <v/>
      </c>
      <c r="AG28" s="695" t="str">
        <f t="shared" si="3"/>
        <v/>
      </c>
      <c r="AH28" s="695" t="str">
        <f t="shared" si="4"/>
        <v/>
      </c>
      <c r="AI28" s="696" t="str">
        <f t="shared" si="5"/>
        <v/>
      </c>
    </row>
    <row r="29" spans="1:35" s="334" customFormat="1" ht="110.4">
      <c r="A29" s="373"/>
      <c r="B29" s="388" t="str">
        <f t="shared" si="0"/>
        <v>Closed - PR_0022</v>
      </c>
      <c r="C29" s="388"/>
      <c r="D29" s="374" t="s">
        <v>1658</v>
      </c>
      <c r="E29" s="375" t="s">
        <v>1679</v>
      </c>
      <c r="F29" s="375"/>
      <c r="G29" s="381" t="s">
        <v>1554</v>
      </c>
      <c r="H29" s="375" t="s">
        <v>26</v>
      </c>
      <c r="I29" s="374" t="s">
        <v>46</v>
      </c>
      <c r="J29" s="385"/>
      <c r="K29" s="385"/>
      <c r="L29" s="375" t="str">
        <f>IFERROR(VLOOKUP(CONCATENATE(J29,K29),'Risk matrix1'!$A$2:$C$26,2,FALSE),"")</f>
        <v/>
      </c>
      <c r="M29" s="375"/>
      <c r="N29" s="359" t="s">
        <v>1555</v>
      </c>
      <c r="O29" s="374" t="s">
        <v>54</v>
      </c>
      <c r="P29" s="375"/>
      <c r="Q29" s="375"/>
      <c r="R29" s="375" t="str">
        <f>IFERROR(VLOOKUP(CONCATENATE(P30,Q30),'Risk matrix1'!$A$2:$C$26,2,FALSE),"")</f>
        <v/>
      </c>
      <c r="S29" s="375"/>
      <c r="T29" s="375"/>
      <c r="U29" s="375" t="s">
        <v>38</v>
      </c>
      <c r="V29" s="694"/>
      <c r="W29" s="694"/>
      <c r="X29" s="694"/>
      <c r="Y29" s="390">
        <v>45155</v>
      </c>
      <c r="Z29" s="381" t="s">
        <v>39</v>
      </c>
      <c r="AA29" s="392" t="str">
        <f t="shared" si="1"/>
        <v/>
      </c>
      <c r="AB29" s="378"/>
      <c r="AC29" s="378" t="str">
        <f>_xlfn.LET(
  _xlpm.s, IFERROR(--_xlfn.TEXTBEFORE(K29,"/"), K29),
  _xlfn.XLOOKUP(_xlpm.s, 'RAD data'!$J$4:$J$8, 'RAD data'!$K$4:$K$8, "")
)</f>
        <v/>
      </c>
      <c r="AD29" s="382" t="str">
        <f t="shared" si="2"/>
        <v/>
      </c>
      <c r="AE29" s="378"/>
      <c r="AF29" s="378" t="str">
        <f>_xlfn.LET(
  _xlpm.s, IFERROR(--_xlfn.TEXTBEFORE(Q29,"/"), Q29),
  _xlfn.XLOOKUP(_xlpm.s, 'RAD data'!$J$4:$J$8, 'RAD data'!$K$4:$K$8, "")
)</f>
        <v/>
      </c>
      <c r="AG29" s="382" t="str">
        <f t="shared" si="3"/>
        <v/>
      </c>
      <c r="AH29" s="382" t="str">
        <f t="shared" si="4"/>
        <v/>
      </c>
      <c r="AI29" s="383" t="str">
        <f t="shared" si="5"/>
        <v/>
      </c>
    </row>
    <row r="30" spans="1:35" s="334" customFormat="1" ht="166.35" customHeight="1">
      <c r="A30" s="353"/>
      <c r="B30" s="328" t="str">
        <f t="shared" si="0"/>
        <v>Closed - PR_0023</v>
      </c>
      <c r="C30" s="328" t="s">
        <v>23</v>
      </c>
      <c r="D30" s="374" t="s">
        <v>1694</v>
      </c>
      <c r="E30" s="375" t="s">
        <v>1695</v>
      </c>
      <c r="F30" s="375"/>
      <c r="G30" s="373" t="s">
        <v>1407</v>
      </c>
      <c r="H30" s="375" t="s">
        <v>26</v>
      </c>
      <c r="I30" s="374" t="s">
        <v>51</v>
      </c>
      <c r="J30" s="385"/>
      <c r="K30" s="385"/>
      <c r="L30" s="375" t="str">
        <f>IFERROR(VLOOKUP(CONCATENATE(J30,K30),'Risk matrix1'!$A$2:$C$26,2,FALSE),"")</f>
        <v/>
      </c>
      <c r="M30" s="375"/>
      <c r="N30" s="354" t="s">
        <v>1408</v>
      </c>
      <c r="O30" s="374" t="s">
        <v>43</v>
      </c>
      <c r="P30" s="375"/>
      <c r="Q30" s="375"/>
      <c r="R30" s="375" t="str">
        <f>IFERROR(VLOOKUP(CONCATENATE(P31,Q31),'Risk matrix1'!$A$2:$C$26,2,FALSE),"")</f>
        <v/>
      </c>
      <c r="S30" s="375"/>
      <c r="T30" s="375"/>
      <c r="U30" s="374" t="s">
        <v>38</v>
      </c>
      <c r="V30" s="694"/>
      <c r="W30" s="694"/>
      <c r="X30" s="694"/>
      <c r="Y30" s="377">
        <v>45896</v>
      </c>
      <c r="Z30" s="373" t="s">
        <v>1520</v>
      </c>
      <c r="AA30" s="392" t="str">
        <f t="shared" si="1"/>
        <v/>
      </c>
      <c r="AB30" s="382">
        <v>0</v>
      </c>
      <c r="AC30" s="378" t="str">
        <f>_xlfn.LET(
  _xlpm.s, IFERROR(--_xlfn.TEXTBEFORE(K30,"/"), K30),
  _xlfn.XLOOKUP(_xlpm.s, 'RAD data'!$J$4:$J$8, 'RAD data'!$K$4:$K$8, "")
)</f>
        <v/>
      </c>
      <c r="AD30" s="382" t="str">
        <f t="shared" si="2"/>
        <v/>
      </c>
      <c r="AE30" s="382">
        <v>0</v>
      </c>
      <c r="AF30" s="378" t="str">
        <f>_xlfn.LET(
  _xlpm.s, IFERROR(--_xlfn.TEXTBEFORE(Q30,"/"), Q30),
  _xlfn.XLOOKUP(_xlpm.s, 'RAD data'!$J$4:$J$8, 'RAD data'!$K$4:$K$8, "")
)</f>
        <v/>
      </c>
      <c r="AG30" s="382" t="str">
        <f t="shared" si="3"/>
        <v/>
      </c>
      <c r="AH30" s="382" t="str">
        <f t="shared" si="4"/>
        <v/>
      </c>
      <c r="AI30" s="383" t="str">
        <f t="shared" si="5"/>
        <v/>
      </c>
    </row>
    <row r="31" spans="1:35" s="334" customFormat="1" ht="164.55" customHeight="1">
      <c r="A31" s="373"/>
      <c r="B31" s="328" t="str">
        <f t="shared" si="0"/>
        <v>Closed - PR_0024</v>
      </c>
      <c r="C31" s="328" t="s">
        <v>45</v>
      </c>
      <c r="D31" s="374" t="s">
        <v>1660</v>
      </c>
      <c r="E31" s="375" t="s">
        <v>1682</v>
      </c>
      <c r="F31" s="375"/>
      <c r="G31" s="373" t="s">
        <v>1410</v>
      </c>
      <c r="H31" s="375" t="s">
        <v>26</v>
      </c>
      <c r="I31" s="374" t="s">
        <v>1556</v>
      </c>
      <c r="J31" s="385"/>
      <c r="K31" s="385"/>
      <c r="L31" s="375" t="str">
        <f>IFERROR(VLOOKUP(CONCATENATE(J31,K31),'Risk matrix1'!$A$2:$C$26,2,FALSE),"")</f>
        <v/>
      </c>
      <c r="M31" s="375"/>
      <c r="N31" s="355" t="s">
        <v>1411</v>
      </c>
      <c r="O31" s="374" t="s">
        <v>41</v>
      </c>
      <c r="P31" s="375"/>
      <c r="Q31" s="375"/>
      <c r="R31" s="375" t="str">
        <f>IFERROR(VLOOKUP(CONCATENATE(P32,Q32),'Risk matrix1'!$A$2:$C$26,2,FALSE),"")</f>
        <v/>
      </c>
      <c r="S31" s="375"/>
      <c r="T31" s="375"/>
      <c r="U31" s="374" t="s">
        <v>38</v>
      </c>
      <c r="V31" s="694"/>
      <c r="W31" s="694"/>
      <c r="X31" s="694"/>
      <c r="Y31" s="377">
        <v>45896</v>
      </c>
      <c r="Z31" s="373" t="s">
        <v>1520</v>
      </c>
      <c r="AA31" s="392" t="str">
        <f t="shared" si="1"/>
        <v/>
      </c>
      <c r="AB31" s="382">
        <v>0</v>
      </c>
      <c r="AC31" s="378" t="str">
        <f>_xlfn.LET(
  _xlpm.s, IFERROR(--_xlfn.TEXTBEFORE(K31,"/"), K31),
  _xlfn.XLOOKUP(_xlpm.s, 'RAD data'!$J$4:$J$8, 'RAD data'!$K$4:$K$8, "")
)</f>
        <v/>
      </c>
      <c r="AD31" s="382" t="str">
        <f t="shared" si="2"/>
        <v/>
      </c>
      <c r="AE31" s="382">
        <v>0</v>
      </c>
      <c r="AF31" s="378" t="str">
        <f>_xlfn.LET(
  _xlpm.s, IFERROR(--_xlfn.TEXTBEFORE(Q31,"/"), Q31),
  _xlfn.XLOOKUP(_xlpm.s, 'RAD data'!$J$4:$J$8, 'RAD data'!$K$4:$K$8, "")
)</f>
        <v/>
      </c>
      <c r="AG31" s="382" t="str">
        <f t="shared" si="3"/>
        <v/>
      </c>
      <c r="AH31" s="382" t="str">
        <f t="shared" si="4"/>
        <v/>
      </c>
      <c r="AI31" s="383" t="str">
        <f t="shared" si="5"/>
        <v/>
      </c>
    </row>
    <row r="32" spans="1:35" s="334" customFormat="1" ht="179.4">
      <c r="A32" s="353"/>
      <c r="B32" s="328" t="str">
        <f t="shared" si="0"/>
        <v>Closed - PR_0025</v>
      </c>
      <c r="C32" s="328" t="s">
        <v>23</v>
      </c>
      <c r="D32" s="374" t="s">
        <v>1662</v>
      </c>
      <c r="E32" s="375" t="s">
        <v>1673</v>
      </c>
      <c r="F32" s="375"/>
      <c r="G32" s="389" t="s">
        <v>1557</v>
      </c>
      <c r="H32" s="375" t="s">
        <v>26</v>
      </c>
      <c r="I32" s="374" t="s">
        <v>46</v>
      </c>
      <c r="J32" s="385"/>
      <c r="K32" s="385"/>
      <c r="L32" s="375" t="str">
        <f>IFERROR(VLOOKUP(CONCATENATE(J32,K32),'Risk matrix1'!$A$2:$C$26,2,FALSE),"")</f>
        <v/>
      </c>
      <c r="M32" s="375"/>
      <c r="N32" s="354" t="s">
        <v>1558</v>
      </c>
      <c r="O32" s="374" t="s">
        <v>41</v>
      </c>
      <c r="P32" s="375"/>
      <c r="Q32" s="375"/>
      <c r="R32" s="375" t="str">
        <f>IFERROR(VLOOKUP(CONCATENATE(P33,Q33),'Risk matrix1'!$A$2:$C$26,2,FALSE),"")</f>
        <v/>
      </c>
      <c r="S32" s="375"/>
      <c r="T32" s="375"/>
      <c r="U32" s="375" t="s">
        <v>38</v>
      </c>
      <c r="V32" s="694"/>
      <c r="W32" s="694"/>
      <c r="X32" s="694"/>
      <c r="Y32" s="390">
        <v>45666</v>
      </c>
      <c r="Z32" s="381" t="s">
        <v>39</v>
      </c>
      <c r="AA32" s="392" t="str">
        <f t="shared" si="1"/>
        <v/>
      </c>
      <c r="AB32" s="378"/>
      <c r="AC32" s="378" t="str">
        <f>_xlfn.LET(
  _xlpm.s, IFERROR(--_xlfn.TEXTBEFORE(K32,"/"), K32),
  _xlfn.XLOOKUP(_xlpm.s, 'RAD data'!$J$4:$J$8, 'RAD data'!$K$4:$K$8, "")
)</f>
        <v/>
      </c>
      <c r="AD32" s="382" t="str">
        <f t="shared" si="2"/>
        <v/>
      </c>
      <c r="AE32" s="378"/>
      <c r="AF32" s="378" t="str">
        <f>_xlfn.LET(
  _xlpm.s, IFERROR(--_xlfn.TEXTBEFORE(Q32,"/"), Q32),
  _xlfn.XLOOKUP(_xlpm.s, 'RAD data'!$J$4:$J$8, 'RAD data'!$K$4:$K$8, "")
)</f>
        <v/>
      </c>
      <c r="AG32" s="382" t="str">
        <f t="shared" si="3"/>
        <v/>
      </c>
      <c r="AH32" s="382" t="str">
        <f t="shared" si="4"/>
        <v/>
      </c>
      <c r="AI32" s="383" t="str">
        <f t="shared" si="5"/>
        <v/>
      </c>
    </row>
    <row r="33" spans="1:35" s="334" customFormat="1" ht="112.35" customHeight="1">
      <c r="A33" s="373"/>
      <c r="B33" s="328" t="str">
        <f t="shared" si="0"/>
        <v>Closed - PR_0026</v>
      </c>
      <c r="C33" s="328" t="s">
        <v>45</v>
      </c>
      <c r="D33" s="374" t="s">
        <v>1658</v>
      </c>
      <c r="E33" s="375" t="s">
        <v>1679</v>
      </c>
      <c r="F33" s="375"/>
      <c r="G33" s="381" t="s">
        <v>1559</v>
      </c>
      <c r="H33" s="375" t="s">
        <v>29</v>
      </c>
      <c r="I33" s="374" t="s">
        <v>44</v>
      </c>
      <c r="J33" s="385"/>
      <c r="K33" s="385"/>
      <c r="L33" s="375" t="str">
        <f>IFERROR(VLOOKUP(CONCATENATE(J33,K33),'Risk matrix1'!$A$2:$C$26,2,FALSE),"")</f>
        <v/>
      </c>
      <c r="M33" s="375"/>
      <c r="N33" s="354" t="s">
        <v>1560</v>
      </c>
      <c r="O33" s="374" t="s">
        <v>43</v>
      </c>
      <c r="P33" s="375"/>
      <c r="Q33" s="375"/>
      <c r="R33" s="375" t="str">
        <f>IFERROR(VLOOKUP(CONCATENATE(P34,Q34),'Risk matrix1'!$A$2:$C$26,2,FALSE),"")</f>
        <v/>
      </c>
      <c r="S33" s="375"/>
      <c r="T33" s="375"/>
      <c r="U33" s="375" t="s">
        <v>38</v>
      </c>
      <c r="V33" s="694"/>
      <c r="W33" s="694"/>
      <c r="X33" s="694"/>
      <c r="Y33" s="390">
        <v>45481</v>
      </c>
      <c r="Z33" s="381" t="s">
        <v>26</v>
      </c>
      <c r="AA33" s="392" t="str">
        <f t="shared" si="1"/>
        <v/>
      </c>
      <c r="AB33" s="378"/>
      <c r="AC33" s="378" t="str">
        <f>_xlfn.LET(
  _xlpm.s, IFERROR(--_xlfn.TEXTBEFORE(K33,"/"), K33),
  _xlfn.XLOOKUP(_xlpm.s, 'RAD data'!$J$4:$J$8, 'RAD data'!$K$4:$K$8, "")
)</f>
        <v/>
      </c>
      <c r="AD33" s="382" t="str">
        <f t="shared" si="2"/>
        <v/>
      </c>
      <c r="AE33" s="378"/>
      <c r="AF33" s="378" t="str">
        <f>_xlfn.LET(
  _xlpm.s, IFERROR(--_xlfn.TEXTBEFORE(Q33,"/"), Q33),
  _xlfn.XLOOKUP(_xlpm.s, 'RAD data'!$J$4:$J$8, 'RAD data'!$K$4:$K$8, "")
)</f>
        <v/>
      </c>
      <c r="AG33" s="382" t="str">
        <f t="shared" si="3"/>
        <v/>
      </c>
      <c r="AH33" s="382" t="str">
        <f t="shared" si="4"/>
        <v/>
      </c>
      <c r="AI33" s="383" t="str">
        <f t="shared" si="5"/>
        <v/>
      </c>
    </row>
    <row r="34" spans="1:35" ht="110.4">
      <c r="A34" s="373"/>
      <c r="B34" s="328" t="str">
        <f t="shared" si="0"/>
        <v>Closed - PR_0027</v>
      </c>
      <c r="C34" s="328" t="s">
        <v>23</v>
      </c>
      <c r="D34" s="374" t="s">
        <v>1658</v>
      </c>
      <c r="E34" s="374" t="s">
        <v>1679</v>
      </c>
      <c r="F34" s="374"/>
      <c r="G34" s="373" t="s">
        <v>1413</v>
      </c>
      <c r="H34" s="375" t="s">
        <v>26</v>
      </c>
      <c r="I34" s="374" t="s">
        <v>46</v>
      </c>
      <c r="J34" s="385"/>
      <c r="K34" s="385"/>
      <c r="L34" s="375" t="str">
        <f>IFERROR(VLOOKUP(CONCATENATE(J34,K34),'Risk matrix1'!$A$2:$C$26,2,FALSE),"")</f>
        <v/>
      </c>
      <c r="M34" s="375"/>
      <c r="N34" s="354" t="s">
        <v>1414</v>
      </c>
      <c r="O34" s="374" t="s">
        <v>43</v>
      </c>
      <c r="P34" s="375"/>
      <c r="Q34" s="375"/>
      <c r="R34" s="375" t="str">
        <f>IFERROR(VLOOKUP(CONCATENATE(P35,Q35),'Risk matrix1'!$A$2:$C$26,2,FALSE),"")</f>
        <v>Major</v>
      </c>
      <c r="S34" s="375"/>
      <c r="T34" s="375"/>
      <c r="U34" s="374" t="s">
        <v>38</v>
      </c>
      <c r="V34" s="694"/>
      <c r="W34" s="694"/>
      <c r="X34" s="694"/>
      <c r="Y34" s="377">
        <v>45896</v>
      </c>
      <c r="Z34" s="373" t="s">
        <v>1520</v>
      </c>
      <c r="AA34" s="392" t="str">
        <f t="shared" si="1"/>
        <v/>
      </c>
      <c r="AB34" s="382">
        <v>0</v>
      </c>
      <c r="AC34" s="378" t="str">
        <f>_xlfn.LET(
  _xlpm.s, IFERROR(--_xlfn.TEXTBEFORE(K34,"/"), K34),
  _xlfn.XLOOKUP(_xlpm.s, 'RAD data'!$J$4:$J$8, 'RAD data'!$K$4:$K$8, "")
)</f>
        <v/>
      </c>
      <c r="AD34" s="382" t="str">
        <f t="shared" si="2"/>
        <v/>
      </c>
      <c r="AE34" s="382">
        <v>0</v>
      </c>
      <c r="AF34" s="378" t="str">
        <f>_xlfn.LET(
  _xlpm.s, IFERROR(--_xlfn.TEXTBEFORE(Q34,"/"), Q34),
  _xlfn.XLOOKUP(_xlpm.s, 'RAD data'!$J$4:$J$8, 'RAD data'!$K$4:$K$8, "")
)</f>
        <v/>
      </c>
      <c r="AG34" s="382" t="str">
        <f t="shared" si="3"/>
        <v/>
      </c>
      <c r="AH34" s="382" t="str">
        <f t="shared" si="4"/>
        <v/>
      </c>
      <c r="AI34" s="383" t="str">
        <f t="shared" si="5"/>
        <v/>
      </c>
    </row>
    <row r="35" spans="1:35" ht="110.4">
      <c r="A35" s="381"/>
      <c r="B35" s="384" t="str">
        <f t="shared" si="0"/>
        <v>PR_0028</v>
      </c>
      <c r="C35" s="384" t="s">
        <v>23</v>
      </c>
      <c r="D35" s="375" t="s">
        <v>1662</v>
      </c>
      <c r="E35" s="375" t="s">
        <v>1673</v>
      </c>
      <c r="F35" s="658">
        <v>44866</v>
      </c>
      <c r="G35" s="381" t="s">
        <v>1561</v>
      </c>
      <c r="H35" s="375" t="s">
        <v>26</v>
      </c>
      <c r="I35" s="375" t="s">
        <v>27</v>
      </c>
      <c r="J35" s="385">
        <v>3</v>
      </c>
      <c r="K35" s="385">
        <v>4</v>
      </c>
      <c r="L35" s="375" t="str">
        <f>IFERROR(VLOOKUP(CONCATENATE(J35,K35),'Risk matrix1'!$A$2:$C$26,2,FALSE),"")</f>
        <v>Major</v>
      </c>
      <c r="M35" s="375" t="s">
        <v>1522</v>
      </c>
      <c r="N35" s="354" t="s">
        <v>1562</v>
      </c>
      <c r="O35" s="375" t="s">
        <v>161</v>
      </c>
      <c r="P35" s="375">
        <v>3</v>
      </c>
      <c r="Q35" s="375">
        <v>3</v>
      </c>
      <c r="R35" s="375" t="str">
        <f>IFERROR(VLOOKUP(CONCATENATE(P36,Q36),'Risk matrix1'!$A$2:$C$26,2,FALSE),"")</f>
        <v>Minor</v>
      </c>
      <c r="S35" s="375" t="s">
        <v>255</v>
      </c>
      <c r="T35" s="375" t="s">
        <v>1538</v>
      </c>
      <c r="U35" s="375" t="s">
        <v>42</v>
      </c>
      <c r="V35" s="691"/>
      <c r="W35" s="691"/>
      <c r="X35" s="692"/>
      <c r="Y35" s="390"/>
      <c r="Z35" s="381"/>
      <c r="AA35" s="392" t="str">
        <f t="shared" si="1"/>
        <v/>
      </c>
      <c r="AB35" s="661">
        <v>5000000</v>
      </c>
      <c r="AC35" s="657">
        <f>_xlfn.LET(
  _xlpm.s, IFERROR(--_xlfn.TEXTBEFORE(K35,"/"), K35),
  _xlfn.XLOOKUP(_xlpm.s, 'RAD data'!$J$4:$J$8, 'RAD data'!$K$4:$K$8, "")
)</f>
        <v>0.8</v>
      </c>
      <c r="AD35" s="661">
        <f t="shared" si="2"/>
        <v>4000000</v>
      </c>
      <c r="AE35" s="661">
        <v>5000000</v>
      </c>
      <c r="AF35" s="657">
        <f>_xlfn.LET(
  _xlpm.s, IFERROR(--_xlfn.TEXTBEFORE(Q35,"/"), Q35),
  _xlfn.XLOOKUP(_xlpm.s, 'RAD data'!$J$4:$J$8, 'RAD data'!$K$4:$K$8, "")
)</f>
        <v>0.6</v>
      </c>
      <c r="AG35" s="661">
        <f t="shared" si="3"/>
        <v>3000000</v>
      </c>
      <c r="AH35" s="661">
        <f t="shared" si="4"/>
        <v>1000000</v>
      </c>
      <c r="AI35" s="662">
        <f t="shared" si="5"/>
        <v>0.25</v>
      </c>
    </row>
    <row r="36" spans="1:35" ht="96.6">
      <c r="A36" s="381"/>
      <c r="B36" s="384" t="str">
        <f t="shared" si="0"/>
        <v>PR_0029</v>
      </c>
      <c r="C36" s="384" t="s">
        <v>23</v>
      </c>
      <c r="D36" s="375" t="s">
        <v>1662</v>
      </c>
      <c r="E36" s="375" t="s">
        <v>1673</v>
      </c>
      <c r="F36" s="658">
        <v>44866</v>
      </c>
      <c r="G36" s="381" t="s">
        <v>1563</v>
      </c>
      <c r="H36" s="375" t="s">
        <v>26</v>
      </c>
      <c r="I36" s="375" t="s">
        <v>46</v>
      </c>
      <c r="J36" s="385">
        <v>3</v>
      </c>
      <c r="K36" s="385">
        <v>3</v>
      </c>
      <c r="L36" s="375" t="str">
        <f>IFERROR(VLOOKUP(CONCATENATE(J36,K36),'Risk matrix1'!$A$2:$C$26,2,FALSE),"")</f>
        <v>Major</v>
      </c>
      <c r="M36" s="375" t="s">
        <v>1522</v>
      </c>
      <c r="N36" s="354" t="s">
        <v>1564</v>
      </c>
      <c r="O36" s="375" t="s">
        <v>161</v>
      </c>
      <c r="P36" s="375">
        <v>3</v>
      </c>
      <c r="Q36" s="375">
        <v>1</v>
      </c>
      <c r="R36" s="375" t="str">
        <f>IFERROR(VLOOKUP(CONCATENATE(P37,Q37),'Risk matrix1'!$A$2:$C$26,2,FALSE),"")</f>
        <v>Minor</v>
      </c>
      <c r="S36" s="375" t="s">
        <v>254</v>
      </c>
      <c r="T36" s="375" t="s">
        <v>1519</v>
      </c>
      <c r="U36" s="375" t="s">
        <v>42</v>
      </c>
      <c r="V36" s="691"/>
      <c r="W36" s="691"/>
      <c r="X36" s="692"/>
      <c r="Y36" s="390"/>
      <c r="Z36" s="381"/>
      <c r="AA36" s="392" t="str">
        <f t="shared" si="1"/>
        <v/>
      </c>
      <c r="AB36" s="661">
        <v>1000000</v>
      </c>
      <c r="AC36" s="657">
        <f>_xlfn.LET(
  _xlpm.s, IFERROR(--_xlfn.TEXTBEFORE(K36,"/"), K36),
  _xlfn.XLOOKUP(_xlpm.s, 'RAD data'!$J$4:$J$8, 'RAD data'!$K$4:$K$8, "")
)</f>
        <v>0.6</v>
      </c>
      <c r="AD36" s="661">
        <f t="shared" si="2"/>
        <v>600000</v>
      </c>
      <c r="AE36" s="661">
        <v>500000</v>
      </c>
      <c r="AF36" s="657">
        <f>_xlfn.LET(
  _xlpm.s, IFERROR(--_xlfn.TEXTBEFORE(Q36,"/"), Q36),
  _xlfn.XLOOKUP(_xlpm.s, 'RAD data'!$J$4:$J$8, 'RAD data'!$K$4:$K$8, "")
)</f>
        <v>0.2</v>
      </c>
      <c r="AG36" s="661">
        <f t="shared" si="3"/>
        <v>100000</v>
      </c>
      <c r="AH36" s="661">
        <f t="shared" si="4"/>
        <v>500000</v>
      </c>
      <c r="AI36" s="662">
        <f t="shared" si="5"/>
        <v>0.83333333333333337</v>
      </c>
    </row>
    <row r="37" spans="1:35" ht="96.6">
      <c r="A37" s="381"/>
      <c r="B37" s="384" t="str">
        <f t="shared" si="0"/>
        <v>PR_0030</v>
      </c>
      <c r="C37" s="384" t="s">
        <v>23</v>
      </c>
      <c r="D37" s="375" t="s">
        <v>1650</v>
      </c>
      <c r="E37" s="375" t="s">
        <v>1685</v>
      </c>
      <c r="F37" s="658">
        <v>44866</v>
      </c>
      <c r="G37" s="381" t="s">
        <v>1565</v>
      </c>
      <c r="H37" s="375" t="s">
        <v>26</v>
      </c>
      <c r="I37" s="375" t="s">
        <v>46</v>
      </c>
      <c r="J37" s="385">
        <v>3</v>
      </c>
      <c r="K37" s="385">
        <v>4</v>
      </c>
      <c r="L37" s="375" t="str">
        <f>IFERROR(VLOOKUP(CONCATENATE(J37,K37),'Risk matrix1'!$A$2:$C$26,2,FALSE),"")</f>
        <v>Major</v>
      </c>
      <c r="M37" s="375" t="s">
        <v>1522</v>
      </c>
      <c r="N37" s="354" t="s">
        <v>1566</v>
      </c>
      <c r="O37" s="375" t="s">
        <v>41</v>
      </c>
      <c r="P37" s="375">
        <v>2</v>
      </c>
      <c r="Q37" s="375">
        <v>2</v>
      </c>
      <c r="R37" s="375" t="str">
        <f>IFERROR(VLOOKUP(CONCATENATE(P38,Q38),'Risk matrix1'!$A$2:$C$26,2,FALSE),"")</f>
        <v/>
      </c>
      <c r="S37" s="375" t="s">
        <v>1567</v>
      </c>
      <c r="T37" s="375" t="s">
        <v>1538</v>
      </c>
      <c r="U37" s="375" t="s">
        <v>42</v>
      </c>
      <c r="V37" s="691"/>
      <c r="W37" s="691"/>
      <c r="X37" s="692"/>
      <c r="Y37" s="390"/>
      <c r="Z37" s="381"/>
      <c r="AA37" s="392" t="str">
        <f t="shared" si="1"/>
        <v/>
      </c>
      <c r="AB37" s="661">
        <v>0</v>
      </c>
      <c r="AC37" s="657">
        <f>_xlfn.LET(
  _xlpm.s, IFERROR(--_xlfn.TEXTBEFORE(K37,"/"), K37),
  _xlfn.XLOOKUP(_xlpm.s, 'RAD data'!$J$4:$J$8, 'RAD data'!$K$4:$K$8, "")
)</f>
        <v>0.8</v>
      </c>
      <c r="AD37" s="661">
        <f t="shared" si="2"/>
        <v>0</v>
      </c>
      <c r="AE37" s="661">
        <v>0</v>
      </c>
      <c r="AF37" s="657">
        <f>_xlfn.LET(
  _xlpm.s, IFERROR(--_xlfn.TEXTBEFORE(Q37,"/"), Q37),
  _xlfn.XLOOKUP(_xlpm.s, 'RAD data'!$J$4:$J$8, 'RAD data'!$K$4:$K$8, "")
)</f>
        <v>0.4</v>
      </c>
      <c r="AG37" s="661">
        <f t="shared" si="3"/>
        <v>0</v>
      </c>
      <c r="AH37" s="661">
        <f t="shared" si="4"/>
        <v>0</v>
      </c>
      <c r="AI37" s="662" t="str">
        <f t="shared" si="5"/>
        <v/>
      </c>
    </row>
    <row r="38" spans="1:35" s="334" customFormat="1" ht="71.25" customHeight="1">
      <c r="A38" s="373"/>
      <c r="B38" s="388" t="str">
        <f t="shared" si="0"/>
        <v>Closed - PR_0031</v>
      </c>
      <c r="C38" s="388"/>
      <c r="D38" s="374" t="s">
        <v>1662</v>
      </c>
      <c r="E38" s="375" t="s">
        <v>1673</v>
      </c>
      <c r="F38" s="375"/>
      <c r="G38" s="381" t="s">
        <v>1568</v>
      </c>
      <c r="H38" s="375" t="s">
        <v>26</v>
      </c>
      <c r="I38" s="374" t="s">
        <v>51</v>
      </c>
      <c r="J38" s="385"/>
      <c r="K38" s="385"/>
      <c r="L38" s="375" t="str">
        <f>IFERROR(VLOOKUP(CONCATENATE(J38,K38),'Risk matrix1'!$A$2:$C$26,2,FALSE),"")</f>
        <v/>
      </c>
      <c r="M38" s="375"/>
      <c r="N38" s="359" t="s">
        <v>1569</v>
      </c>
      <c r="O38" s="374" t="s">
        <v>43</v>
      </c>
      <c r="P38" s="375"/>
      <c r="Q38" s="375"/>
      <c r="R38" s="375" t="str">
        <f>IFERROR(VLOOKUP(CONCATENATE(P39,Q39),'Risk matrix1'!$A$2:$C$26,2,FALSE),"")</f>
        <v/>
      </c>
      <c r="S38" s="375"/>
      <c r="T38" s="375"/>
      <c r="U38" s="375" t="s">
        <v>38</v>
      </c>
      <c r="V38" s="694"/>
      <c r="W38" s="694"/>
      <c r="X38" s="694"/>
      <c r="Y38" s="390">
        <v>45155</v>
      </c>
      <c r="Z38" s="381" t="s">
        <v>1570</v>
      </c>
      <c r="AA38" s="392" t="str">
        <f t="shared" si="1"/>
        <v/>
      </c>
      <c r="AB38" s="378"/>
      <c r="AC38" s="378" t="str">
        <f>_xlfn.LET(
  _xlpm.s, IFERROR(--_xlfn.TEXTBEFORE(K38,"/"), K38),
  _xlfn.XLOOKUP(_xlpm.s, 'RAD data'!$J$4:$J$8, 'RAD data'!$K$4:$K$8, "")
)</f>
        <v/>
      </c>
      <c r="AD38" s="382" t="str">
        <f t="shared" si="2"/>
        <v/>
      </c>
      <c r="AE38" s="378"/>
      <c r="AF38" s="378" t="str">
        <f>_xlfn.LET(
  _xlpm.s, IFERROR(--_xlfn.TEXTBEFORE(Q38,"/"), Q38),
  _xlfn.XLOOKUP(_xlpm.s, 'RAD data'!$J$4:$J$8, 'RAD data'!$K$4:$K$8, "")
)</f>
        <v/>
      </c>
      <c r="AG38" s="382" t="str">
        <f t="shared" si="3"/>
        <v/>
      </c>
      <c r="AH38" s="382" t="str">
        <f t="shared" si="4"/>
        <v/>
      </c>
      <c r="AI38" s="383" t="str">
        <f t="shared" si="5"/>
        <v/>
      </c>
    </row>
    <row r="39" spans="1:35" s="334" customFormat="1" ht="151.80000000000001">
      <c r="A39" s="353"/>
      <c r="B39" s="328" t="str">
        <f t="shared" si="0"/>
        <v>Closed - PR_0032</v>
      </c>
      <c r="C39" s="328" t="s">
        <v>23</v>
      </c>
      <c r="D39" s="374" t="s">
        <v>1650</v>
      </c>
      <c r="E39" s="375" t="s">
        <v>1685</v>
      </c>
      <c r="F39" s="375"/>
      <c r="G39" s="381" t="s">
        <v>1571</v>
      </c>
      <c r="H39" s="375" t="s">
        <v>26</v>
      </c>
      <c r="I39" s="374" t="s">
        <v>44</v>
      </c>
      <c r="J39" s="385"/>
      <c r="K39" s="385"/>
      <c r="L39" s="375" t="str">
        <f>IFERROR(VLOOKUP(CONCATENATE(J39,K39),'Risk matrix1'!$A$2:$C$26,2,FALSE),"")</f>
        <v/>
      </c>
      <c r="M39" s="375"/>
      <c r="N39" s="354" t="s">
        <v>1572</v>
      </c>
      <c r="O39" s="374" t="s">
        <v>26</v>
      </c>
      <c r="P39" s="375"/>
      <c r="Q39" s="375"/>
      <c r="R39" s="375" t="str">
        <f>IFERROR(VLOOKUP(CONCATENATE(P40,Q40),'Risk matrix1'!$A$2:$C$26,2,FALSE),"")</f>
        <v>Minor</v>
      </c>
      <c r="S39" s="375"/>
      <c r="T39" s="375"/>
      <c r="U39" s="375" t="s">
        <v>38</v>
      </c>
      <c r="V39" s="694"/>
      <c r="W39" s="694"/>
      <c r="X39" s="694"/>
      <c r="Y39" s="390">
        <v>45666</v>
      </c>
      <c r="Z39" s="381" t="s">
        <v>39</v>
      </c>
      <c r="AA39" s="392" t="str">
        <f t="shared" si="1"/>
        <v/>
      </c>
      <c r="AB39" s="378"/>
      <c r="AC39" s="378" t="str">
        <f>_xlfn.LET(
  _xlpm.s, IFERROR(--_xlfn.TEXTBEFORE(K39,"/"), K39),
  _xlfn.XLOOKUP(_xlpm.s, 'RAD data'!$J$4:$J$8, 'RAD data'!$K$4:$K$8, "")
)</f>
        <v/>
      </c>
      <c r="AD39" s="382" t="str">
        <f t="shared" si="2"/>
        <v/>
      </c>
      <c r="AE39" s="378"/>
      <c r="AF39" s="378" t="str">
        <f>_xlfn.LET(
  _xlpm.s, IFERROR(--_xlfn.TEXTBEFORE(Q39,"/"), Q39),
  _xlfn.XLOOKUP(_xlpm.s, 'RAD data'!$J$4:$J$8, 'RAD data'!$K$4:$K$8, "")
)</f>
        <v/>
      </c>
      <c r="AG39" s="382" t="str">
        <f t="shared" si="3"/>
        <v/>
      </c>
      <c r="AH39" s="382" t="str">
        <f t="shared" si="4"/>
        <v/>
      </c>
      <c r="AI39" s="383" t="str">
        <f t="shared" si="5"/>
        <v/>
      </c>
    </row>
    <row r="40" spans="1:35" ht="68.849999999999994" customHeight="1">
      <c r="A40" s="381"/>
      <c r="B40" s="384" t="str">
        <f t="shared" si="0"/>
        <v>PR_0033</v>
      </c>
      <c r="C40" s="384" t="s">
        <v>23</v>
      </c>
      <c r="D40" s="375" t="s">
        <v>1656</v>
      </c>
      <c r="E40" s="375" t="s">
        <v>1676</v>
      </c>
      <c r="F40" s="658">
        <v>44866</v>
      </c>
      <c r="G40" s="381" t="s">
        <v>1573</v>
      </c>
      <c r="H40" s="375" t="s">
        <v>26</v>
      </c>
      <c r="I40" s="375" t="s">
        <v>57</v>
      </c>
      <c r="J40" s="385">
        <v>3</v>
      </c>
      <c r="K40" s="385">
        <v>3</v>
      </c>
      <c r="L40" s="375" t="str">
        <f>IFERROR(VLOOKUP(CONCATENATE(J40,K40),'Risk matrix1'!$A$2:$C$26,2,FALSE),"")</f>
        <v>Major</v>
      </c>
      <c r="M40" s="375" t="s">
        <v>1522</v>
      </c>
      <c r="N40" s="354" t="s">
        <v>1574</v>
      </c>
      <c r="O40" s="375" t="s">
        <v>41</v>
      </c>
      <c r="P40" s="375">
        <v>2</v>
      </c>
      <c r="Q40" s="375">
        <v>2</v>
      </c>
      <c r="R40" s="375" t="str">
        <f>IFERROR(VLOOKUP(CONCATENATE(P41,Q41),'Risk matrix1'!$A$2:$C$26,2,FALSE),"")</f>
        <v/>
      </c>
      <c r="S40" s="375" t="s">
        <v>255</v>
      </c>
      <c r="T40" s="375" t="s">
        <v>1538</v>
      </c>
      <c r="U40" s="375" t="s">
        <v>42</v>
      </c>
      <c r="V40" s="691"/>
      <c r="W40" s="691"/>
      <c r="X40" s="692"/>
      <c r="Y40" s="390"/>
      <c r="Z40" s="381"/>
      <c r="AA40" s="392" t="str">
        <f t="shared" si="1"/>
        <v/>
      </c>
      <c r="AB40" s="661">
        <v>0</v>
      </c>
      <c r="AC40" s="657">
        <f>_xlfn.LET(
  _xlpm.s, IFERROR(--_xlfn.TEXTBEFORE(K40,"/"), K40),
  _xlfn.XLOOKUP(_xlpm.s, 'RAD data'!$J$4:$J$8, 'RAD data'!$K$4:$K$8, "")
)</f>
        <v>0.6</v>
      </c>
      <c r="AD40" s="661">
        <f t="shared" ref="AD40:AD71" si="6">IFERROR(SUM(AB40*AC40),"")</f>
        <v>0</v>
      </c>
      <c r="AE40" s="661">
        <v>0</v>
      </c>
      <c r="AF40" s="657">
        <f>_xlfn.LET(
  _xlpm.s, IFERROR(--_xlfn.TEXTBEFORE(Q40,"/"), Q40),
  _xlfn.XLOOKUP(_xlpm.s, 'RAD data'!$J$4:$J$8, 'RAD data'!$K$4:$K$8, "")
)</f>
        <v>0.4</v>
      </c>
      <c r="AG40" s="661">
        <f t="shared" ref="AG40:AG71" si="7">IFERROR(SUM(AE40*AF40),"")</f>
        <v>0</v>
      </c>
      <c r="AH40" s="661">
        <f t="shared" ref="AH40:AH71" si="8">IFERROR(SUM(AD40-AG40),"")</f>
        <v>0</v>
      </c>
      <c r="AI40" s="662" t="str">
        <f t="shared" ref="AI40:AI71" si="9">IFERROR(SUM(AH40/AD40),"")</f>
        <v/>
      </c>
    </row>
    <row r="41" spans="1:35" ht="141.75" customHeight="1">
      <c r="A41" s="378"/>
      <c r="B41" s="328" t="str">
        <f>IF(U41="Closed","Closed - " &amp; IF(G41&lt;&gt;"","PR_" &amp; TEXT(ROW(G41)-7,"0000"),""), IF(G41&lt;&gt;"","PR_" &amp; TEXT(ROW(G41)-7,"0000"),""))</f>
        <v>Closed - PR_0034</v>
      </c>
      <c r="C41" s="328" t="s">
        <v>23</v>
      </c>
      <c r="D41" s="374" t="s">
        <v>1650</v>
      </c>
      <c r="E41" s="374" t="s">
        <v>1685</v>
      </c>
      <c r="F41" s="374"/>
      <c r="G41" s="373" t="s">
        <v>1416</v>
      </c>
      <c r="H41" s="374" t="s">
        <v>26</v>
      </c>
      <c r="I41" s="374" t="s">
        <v>27</v>
      </c>
      <c r="J41" s="376"/>
      <c r="K41" s="376"/>
      <c r="L41" s="375" t="str">
        <f>IFERROR(VLOOKUP(CONCATENATE(J41,K41),'Risk matrix1'!$A$2:$C$26,2,FALSE),"")</f>
        <v/>
      </c>
      <c r="M41" s="375"/>
      <c r="N41" s="356" t="s">
        <v>1417</v>
      </c>
      <c r="O41" s="374" t="s">
        <v>48</v>
      </c>
      <c r="P41" s="375"/>
      <c r="Q41" s="375"/>
      <c r="R41" s="375" t="str">
        <f>IFERROR(VLOOKUP(CONCATENATE(P42,Q42),'Risk matrix1'!$A$2:$C$26,2,FALSE),"")</f>
        <v/>
      </c>
      <c r="S41" s="375"/>
      <c r="T41" s="375"/>
      <c r="U41" s="374" t="s">
        <v>38</v>
      </c>
      <c r="V41" s="694"/>
      <c r="W41" s="694"/>
      <c r="X41" s="694"/>
      <c r="Y41" s="377">
        <v>45896</v>
      </c>
      <c r="Z41" s="373" t="s">
        <v>1520</v>
      </c>
      <c r="AA41" s="392" t="str">
        <f t="shared" si="1"/>
        <v/>
      </c>
      <c r="AB41" s="382">
        <v>0</v>
      </c>
      <c r="AC41" s="378" t="str">
        <f>_xlfn.LET(
  _xlpm.s, IFERROR(--_xlfn.TEXTBEFORE(K41,"/"), K41),
  _xlfn.XLOOKUP(_xlpm.s, 'RAD data'!$J$4:$J$8, 'RAD data'!$K$4:$K$8, "")
)</f>
        <v/>
      </c>
      <c r="AD41" s="382" t="str">
        <f t="shared" si="6"/>
        <v/>
      </c>
      <c r="AE41" s="382">
        <v>0</v>
      </c>
      <c r="AF41" s="378" t="str">
        <f>_xlfn.LET(
  _xlpm.s, IFERROR(--_xlfn.TEXTBEFORE(Q41,"/"), Q41),
  _xlfn.XLOOKUP(_xlpm.s, 'RAD data'!$J$4:$J$8, 'RAD data'!$K$4:$K$8, "")
)</f>
        <v/>
      </c>
      <c r="AG41" s="382" t="str">
        <f t="shared" si="7"/>
        <v/>
      </c>
      <c r="AH41" s="382" t="str">
        <f t="shared" si="8"/>
        <v/>
      </c>
      <c r="AI41" s="383" t="str">
        <f t="shared" si="9"/>
        <v/>
      </c>
    </row>
    <row r="42" spans="1:35" ht="82.35" customHeight="1">
      <c r="A42" s="393"/>
      <c r="B42" s="328" t="str">
        <f t="shared" si="0"/>
        <v>Closed - PR_0035</v>
      </c>
      <c r="C42" s="328" t="s">
        <v>23</v>
      </c>
      <c r="D42" s="374" t="s">
        <v>1662</v>
      </c>
      <c r="E42" s="374" t="s">
        <v>1673</v>
      </c>
      <c r="F42" s="374"/>
      <c r="G42" s="373" t="s">
        <v>1575</v>
      </c>
      <c r="H42" s="374" t="s">
        <v>26</v>
      </c>
      <c r="I42" s="374" t="s">
        <v>27</v>
      </c>
      <c r="J42" s="376"/>
      <c r="K42" s="376"/>
      <c r="L42" s="375" t="str">
        <f>IFERROR(VLOOKUP(CONCATENATE(J42,K42),'Risk matrix1'!$A$2:$C$26,2,FALSE),"")</f>
        <v/>
      </c>
      <c r="M42" s="375"/>
      <c r="N42" s="354" t="s">
        <v>1576</v>
      </c>
      <c r="O42" s="374" t="s">
        <v>41</v>
      </c>
      <c r="P42" s="375"/>
      <c r="Q42" s="375"/>
      <c r="R42" s="375" t="str">
        <f>IFERROR(VLOOKUP(CONCATENATE(P43,Q43),'Risk matrix1'!$A$2:$C$26,2,FALSE),"")</f>
        <v/>
      </c>
      <c r="S42" s="375"/>
      <c r="T42" s="375"/>
      <c r="U42" s="375" t="s">
        <v>38</v>
      </c>
      <c r="V42" s="694"/>
      <c r="W42" s="694"/>
      <c r="X42" s="694"/>
      <c r="Y42" s="390">
        <v>45666</v>
      </c>
      <c r="Z42" s="373" t="s">
        <v>39</v>
      </c>
      <c r="AA42" s="392"/>
      <c r="AB42" s="373"/>
      <c r="AC42" s="378" t="str">
        <f>_xlfn.LET(
  _xlpm.s, IFERROR(--_xlfn.TEXTBEFORE(K42,"/"), K42),
  _xlfn.XLOOKUP(_xlpm.s, 'RAD data'!$J$4:$J$8, 'RAD data'!$K$4:$K$8, "")
)</f>
        <v/>
      </c>
      <c r="AD42" s="695" t="str">
        <f t="shared" si="6"/>
        <v/>
      </c>
      <c r="AE42" s="373"/>
      <c r="AF42" s="378" t="str">
        <f>_xlfn.LET(
  _xlpm.s, IFERROR(--_xlfn.TEXTBEFORE(Q42,"/"), Q42),
  _xlfn.XLOOKUP(_xlpm.s, 'RAD data'!$J$4:$J$8, 'RAD data'!$K$4:$K$8, "")
)</f>
        <v/>
      </c>
      <c r="AG42" s="695" t="str">
        <f t="shared" si="7"/>
        <v/>
      </c>
      <c r="AH42" s="695" t="str">
        <f t="shared" si="8"/>
        <v/>
      </c>
      <c r="AI42" s="696" t="str">
        <f t="shared" si="9"/>
        <v/>
      </c>
    </row>
    <row r="43" spans="1:35" ht="162.75" customHeight="1">
      <c r="A43" s="378"/>
      <c r="B43" s="328" t="str">
        <f t="shared" si="0"/>
        <v>Closed - PR_0036</v>
      </c>
      <c r="C43" s="328" t="s">
        <v>23</v>
      </c>
      <c r="D43" s="374" t="s">
        <v>1340</v>
      </c>
      <c r="E43" s="374" t="s">
        <v>1691</v>
      </c>
      <c r="F43" s="374"/>
      <c r="G43" s="373" t="s">
        <v>1577</v>
      </c>
      <c r="H43" s="374" t="s">
        <v>29</v>
      </c>
      <c r="I43" s="374" t="s">
        <v>27</v>
      </c>
      <c r="J43" s="376"/>
      <c r="K43" s="376"/>
      <c r="L43" s="375" t="str">
        <f>IFERROR(VLOOKUP(CONCATENATE(J43,K43),'Risk matrix1'!$A$2:$C$26,2,FALSE),"")</f>
        <v/>
      </c>
      <c r="M43" s="375"/>
      <c r="N43" s="354" t="s">
        <v>1578</v>
      </c>
      <c r="O43" s="374" t="s">
        <v>41</v>
      </c>
      <c r="P43" s="375"/>
      <c r="Q43" s="375"/>
      <c r="R43" s="375" t="str">
        <f>IFERROR(VLOOKUP(CONCATENATE(P44,Q44),'Risk matrix1'!$A$2:$C$26,2,FALSE),"")</f>
        <v/>
      </c>
      <c r="S43" s="375"/>
      <c r="T43" s="375"/>
      <c r="U43" s="375" t="s">
        <v>38</v>
      </c>
      <c r="V43" s="694"/>
      <c r="W43" s="694"/>
      <c r="X43" s="694"/>
      <c r="Y43" s="390">
        <v>45677</v>
      </c>
      <c r="Z43" s="373" t="s">
        <v>52</v>
      </c>
      <c r="AA43" s="392"/>
      <c r="AB43" s="373"/>
      <c r="AC43" s="378" t="str">
        <f>_xlfn.LET(
  _xlpm.s, IFERROR(--_xlfn.TEXTBEFORE(K43,"/"), K43),
  _xlfn.XLOOKUP(_xlpm.s, 'RAD data'!$J$4:$J$8, 'RAD data'!$K$4:$K$8, "")
)</f>
        <v/>
      </c>
      <c r="AD43" s="695" t="str">
        <f t="shared" si="6"/>
        <v/>
      </c>
      <c r="AE43" s="373"/>
      <c r="AF43" s="378" t="str">
        <f>_xlfn.LET(
  _xlpm.s, IFERROR(--_xlfn.TEXTBEFORE(Q43,"/"), Q43),
  _xlfn.XLOOKUP(_xlpm.s, 'RAD data'!$J$4:$J$8, 'RAD data'!$K$4:$K$8, "")
)</f>
        <v/>
      </c>
      <c r="AG43" s="695" t="str">
        <f t="shared" si="7"/>
        <v/>
      </c>
      <c r="AH43" s="695" t="str">
        <f t="shared" si="8"/>
        <v/>
      </c>
      <c r="AI43" s="696" t="str">
        <f t="shared" si="9"/>
        <v/>
      </c>
    </row>
    <row r="44" spans="1:35" ht="96.6">
      <c r="A44" s="378"/>
      <c r="B44" s="328" t="str">
        <f t="shared" si="0"/>
        <v>Closed - PR_0037</v>
      </c>
      <c r="C44" s="328" t="s">
        <v>45</v>
      </c>
      <c r="D44" s="374" t="s">
        <v>1694</v>
      </c>
      <c r="E44" s="374" t="s">
        <v>1695</v>
      </c>
      <c r="F44" s="374"/>
      <c r="G44" s="373" t="s">
        <v>1579</v>
      </c>
      <c r="H44" s="374" t="s">
        <v>43</v>
      </c>
      <c r="I44" s="374" t="s">
        <v>58</v>
      </c>
      <c r="J44" s="376"/>
      <c r="K44" s="376"/>
      <c r="L44" s="375" t="str">
        <f>IFERROR(VLOOKUP(CONCATENATE(J44,K44),'Risk matrix1'!$A$2:$C$26,2,FALSE),"")</f>
        <v/>
      </c>
      <c r="M44" s="375"/>
      <c r="N44" s="356" t="s">
        <v>1580</v>
      </c>
      <c r="O44" s="374" t="s">
        <v>43</v>
      </c>
      <c r="P44" s="375"/>
      <c r="Q44" s="375"/>
      <c r="R44" s="375" t="str">
        <f>IFERROR(VLOOKUP(CONCATENATE(P45,Q45),'Risk matrix1'!$A$2:$C$26,2,FALSE),"")</f>
        <v/>
      </c>
      <c r="S44" s="375"/>
      <c r="T44" s="375"/>
      <c r="U44" s="375" t="s">
        <v>38</v>
      </c>
      <c r="V44" s="694"/>
      <c r="W44" s="694"/>
      <c r="X44" s="694"/>
      <c r="Y44" s="390">
        <v>45481</v>
      </c>
      <c r="Z44" s="373" t="s">
        <v>26</v>
      </c>
      <c r="AA44" s="392"/>
      <c r="AB44" s="373"/>
      <c r="AC44" s="378" t="str">
        <f>_xlfn.LET(
  _xlpm.s, IFERROR(--_xlfn.TEXTBEFORE(K44,"/"), K44),
  _xlfn.XLOOKUP(_xlpm.s, 'RAD data'!$J$4:$J$8, 'RAD data'!$K$4:$K$8, "")
)</f>
        <v/>
      </c>
      <c r="AD44" s="695" t="str">
        <f t="shared" si="6"/>
        <v/>
      </c>
      <c r="AE44" s="373"/>
      <c r="AF44" s="378" t="str">
        <f>_xlfn.LET(
  _xlpm.s, IFERROR(--_xlfn.TEXTBEFORE(Q44,"/"), Q44),
  _xlfn.XLOOKUP(_xlpm.s, 'RAD data'!$J$4:$J$8, 'RAD data'!$K$4:$K$8, "")
)</f>
        <v/>
      </c>
      <c r="AG44" s="695" t="str">
        <f t="shared" si="7"/>
        <v/>
      </c>
      <c r="AH44" s="695" t="str">
        <f t="shared" si="8"/>
        <v/>
      </c>
      <c r="AI44" s="696" t="str">
        <f t="shared" si="9"/>
        <v/>
      </c>
    </row>
    <row r="45" spans="1:35" ht="252.75" customHeight="1">
      <c r="A45" s="378"/>
      <c r="B45" s="328" t="str">
        <f t="shared" si="0"/>
        <v>Closed - PR_0038</v>
      </c>
      <c r="C45" s="328" t="s">
        <v>23</v>
      </c>
      <c r="D45" s="374" t="s">
        <v>1671</v>
      </c>
      <c r="E45" s="374" t="s">
        <v>1703</v>
      </c>
      <c r="F45" s="374"/>
      <c r="G45" s="373" t="s">
        <v>1419</v>
      </c>
      <c r="H45" s="374" t="s">
        <v>34</v>
      </c>
      <c r="I45" s="374" t="s">
        <v>58</v>
      </c>
      <c r="J45" s="376"/>
      <c r="K45" s="376"/>
      <c r="L45" s="375" t="str">
        <f>IFERROR(VLOOKUP(CONCATENATE(J45,K45),'Risk matrix1'!$A$2:$C$26,2,FALSE),"")</f>
        <v/>
      </c>
      <c r="M45" s="375"/>
      <c r="N45" s="354" t="s">
        <v>1420</v>
      </c>
      <c r="O45" s="374" t="s">
        <v>48</v>
      </c>
      <c r="P45" s="375"/>
      <c r="Q45" s="375"/>
      <c r="R45" s="375" t="str">
        <f>IFERROR(VLOOKUP(CONCATENATE(P46,Q46),'Risk matrix1'!$A$2:$C$26,2,FALSE),"")</f>
        <v/>
      </c>
      <c r="S45" s="375"/>
      <c r="T45" s="375"/>
      <c r="U45" s="374" t="s">
        <v>38</v>
      </c>
      <c r="V45" s="694"/>
      <c r="W45" s="694"/>
      <c r="X45" s="694"/>
      <c r="Y45" s="377">
        <v>45896</v>
      </c>
      <c r="Z45" s="373" t="s">
        <v>1520</v>
      </c>
      <c r="AA45" s="392"/>
      <c r="AB45" s="382">
        <v>0</v>
      </c>
      <c r="AC45" s="378" t="str">
        <f>_xlfn.LET(
  _xlpm.s, IFERROR(--_xlfn.TEXTBEFORE(K45,"/"), K45),
  _xlfn.XLOOKUP(_xlpm.s, 'RAD data'!$J$4:$J$8, 'RAD data'!$K$4:$K$8, "")
)</f>
        <v/>
      </c>
      <c r="AD45" s="382" t="str">
        <f t="shared" si="6"/>
        <v/>
      </c>
      <c r="AE45" s="382">
        <v>0</v>
      </c>
      <c r="AF45" s="378" t="str">
        <f>_xlfn.LET(
  _xlpm.s, IFERROR(--_xlfn.TEXTBEFORE(Q45,"/"), Q45),
  _xlfn.XLOOKUP(_xlpm.s, 'RAD data'!$J$4:$J$8, 'RAD data'!$K$4:$K$8, "")
)</f>
        <v/>
      </c>
      <c r="AG45" s="382" t="str">
        <f t="shared" si="7"/>
        <v/>
      </c>
      <c r="AH45" s="382" t="str">
        <f t="shared" si="8"/>
        <v/>
      </c>
      <c r="AI45" s="383" t="str">
        <f t="shared" si="9"/>
        <v/>
      </c>
    </row>
    <row r="46" spans="1:35" ht="193.2">
      <c r="A46" s="378"/>
      <c r="B46" s="328" t="str">
        <f t="shared" si="0"/>
        <v>Closed - PR_0039</v>
      </c>
      <c r="C46" s="328" t="s">
        <v>23</v>
      </c>
      <c r="D46" s="374" t="s">
        <v>1660</v>
      </c>
      <c r="E46" s="374" t="s">
        <v>1682</v>
      </c>
      <c r="F46" s="374"/>
      <c r="G46" s="373" t="s">
        <v>1422</v>
      </c>
      <c r="H46" s="374" t="s">
        <v>26</v>
      </c>
      <c r="I46" s="374" t="s">
        <v>47</v>
      </c>
      <c r="J46" s="376"/>
      <c r="K46" s="376"/>
      <c r="L46" s="375" t="str">
        <f>IFERROR(VLOOKUP(CONCATENATE(J46,K46),'Risk matrix1'!$A$2:$C$26,2,FALSE),"")</f>
        <v/>
      </c>
      <c r="M46" s="375"/>
      <c r="N46" s="354" t="s">
        <v>1423</v>
      </c>
      <c r="O46" s="374" t="s">
        <v>43</v>
      </c>
      <c r="P46" s="375"/>
      <c r="Q46" s="375"/>
      <c r="R46" s="375" t="str">
        <f>IFERROR(VLOOKUP(CONCATENATE(P47,Q47),'Risk matrix1'!$A$2:$C$26,2,FALSE),"")</f>
        <v/>
      </c>
      <c r="S46" s="375"/>
      <c r="T46" s="375"/>
      <c r="U46" s="374" t="s">
        <v>38</v>
      </c>
      <c r="V46" s="694"/>
      <c r="W46" s="694"/>
      <c r="X46" s="694"/>
      <c r="Y46" s="377">
        <v>45896</v>
      </c>
      <c r="Z46" s="373" t="s">
        <v>1520</v>
      </c>
      <c r="AA46" s="392"/>
      <c r="AB46" s="382">
        <v>0</v>
      </c>
      <c r="AC46" s="378" t="str">
        <f>_xlfn.LET(
  _xlpm.s, IFERROR(--_xlfn.TEXTBEFORE(K46,"/"), K46),
  _xlfn.XLOOKUP(_xlpm.s, 'RAD data'!$J$4:$J$8, 'RAD data'!$K$4:$K$8, "")
)</f>
        <v/>
      </c>
      <c r="AD46" s="382" t="str">
        <f t="shared" si="6"/>
        <v/>
      </c>
      <c r="AE46" s="382">
        <v>0</v>
      </c>
      <c r="AF46" s="378" t="str">
        <f>_xlfn.LET(
  _xlpm.s, IFERROR(--_xlfn.TEXTBEFORE(Q46,"/"), Q46),
  _xlfn.XLOOKUP(_xlpm.s, 'RAD data'!$J$4:$J$8, 'RAD data'!$K$4:$K$8, "")
)</f>
        <v/>
      </c>
      <c r="AG46" s="382" t="str">
        <f t="shared" si="7"/>
        <v/>
      </c>
      <c r="AH46" s="382" t="str">
        <f t="shared" si="8"/>
        <v/>
      </c>
      <c r="AI46" s="383" t="str">
        <f t="shared" si="9"/>
        <v/>
      </c>
    </row>
    <row r="47" spans="1:35" ht="169.5" customHeight="1">
      <c r="A47" s="378"/>
      <c r="B47" s="328" t="str">
        <f t="shared" si="0"/>
        <v>Closed - PR_0040</v>
      </c>
      <c r="C47" s="328"/>
      <c r="D47" s="374" t="s">
        <v>1658</v>
      </c>
      <c r="E47" s="373" t="s">
        <v>1679</v>
      </c>
      <c r="F47" s="373"/>
      <c r="G47" s="373" t="s">
        <v>1581</v>
      </c>
      <c r="H47" s="374" t="s">
        <v>43</v>
      </c>
      <c r="I47" s="374" t="s">
        <v>59</v>
      </c>
      <c r="J47" s="376"/>
      <c r="K47" s="376"/>
      <c r="L47" s="375" t="str">
        <f>IFERROR(VLOOKUP(CONCATENATE(J47,K47),'Risk matrix1'!$A$2:$C$26,2,FALSE),"")</f>
        <v/>
      </c>
      <c r="M47" s="375"/>
      <c r="N47" s="359" t="s">
        <v>1582</v>
      </c>
      <c r="O47" s="374" t="s">
        <v>48</v>
      </c>
      <c r="P47" s="375"/>
      <c r="Q47" s="375"/>
      <c r="R47" s="375" t="str">
        <f>IFERROR(VLOOKUP(CONCATENATE(P48,Q48),'Risk matrix1'!$A$2:$C$26,2,FALSE),"")</f>
        <v/>
      </c>
      <c r="S47" s="375"/>
      <c r="T47" s="375"/>
      <c r="U47" s="375" t="s">
        <v>38</v>
      </c>
      <c r="V47" s="694"/>
      <c r="W47" s="694"/>
      <c r="X47" s="694"/>
      <c r="Y47" s="390">
        <v>45299</v>
      </c>
      <c r="Z47" s="373" t="s">
        <v>39</v>
      </c>
      <c r="AA47" s="392"/>
      <c r="AB47" s="373"/>
      <c r="AC47" s="378" t="str">
        <f>_xlfn.LET(
  _xlpm.s, IFERROR(--_xlfn.TEXTBEFORE(K47,"/"), K47),
  _xlfn.XLOOKUP(_xlpm.s, 'RAD data'!$J$4:$J$8, 'RAD data'!$K$4:$K$8, "")
)</f>
        <v/>
      </c>
      <c r="AD47" s="695" t="str">
        <f t="shared" si="6"/>
        <v/>
      </c>
      <c r="AE47" s="373"/>
      <c r="AF47" s="378" t="str">
        <f>_xlfn.LET(
  _xlpm.s, IFERROR(--_xlfn.TEXTBEFORE(Q47,"/"), Q47),
  _xlfn.XLOOKUP(_xlpm.s, 'RAD data'!$J$4:$J$8, 'RAD data'!$K$4:$K$8, "")
)</f>
        <v/>
      </c>
      <c r="AG47" s="695" t="str">
        <f t="shared" si="7"/>
        <v/>
      </c>
      <c r="AH47" s="695" t="str">
        <f t="shared" si="8"/>
        <v/>
      </c>
      <c r="AI47" s="696" t="str">
        <f t="shared" si="9"/>
        <v/>
      </c>
    </row>
    <row r="48" spans="1:35" ht="82.8">
      <c r="A48" s="378"/>
      <c r="B48" s="328" t="str">
        <f t="shared" si="0"/>
        <v>Closed - PR_0041</v>
      </c>
      <c r="C48" s="328" t="s">
        <v>23</v>
      </c>
      <c r="D48" s="374" t="s">
        <v>1662</v>
      </c>
      <c r="E48" s="374" t="s">
        <v>1673</v>
      </c>
      <c r="F48" s="374"/>
      <c r="G48" s="373" t="s">
        <v>1425</v>
      </c>
      <c r="H48" s="374" t="s">
        <v>43</v>
      </c>
      <c r="I48" s="374" t="s">
        <v>27</v>
      </c>
      <c r="J48" s="376"/>
      <c r="K48" s="376"/>
      <c r="L48" s="375" t="str">
        <f>IFERROR(VLOOKUP(CONCATENATE(J48,K48),'Risk matrix1'!$A$2:$C$26,2,FALSE),"")</f>
        <v/>
      </c>
      <c r="M48" s="375"/>
      <c r="N48" s="354" t="s">
        <v>1426</v>
      </c>
      <c r="O48" s="374" t="s">
        <v>41</v>
      </c>
      <c r="P48" s="375"/>
      <c r="Q48" s="375"/>
      <c r="R48" s="375" t="str">
        <f>IFERROR(VLOOKUP(CONCATENATE(P49,Q49),'Risk matrix1'!$A$2:$C$26,2,FALSE),"")</f>
        <v/>
      </c>
      <c r="S48" s="375"/>
      <c r="T48" s="375"/>
      <c r="U48" s="374" t="s">
        <v>38</v>
      </c>
      <c r="V48" s="694"/>
      <c r="W48" s="694"/>
      <c r="X48" s="694"/>
      <c r="Y48" s="377">
        <v>45896</v>
      </c>
      <c r="Z48" s="373" t="s">
        <v>1520</v>
      </c>
      <c r="AA48" s="392"/>
      <c r="AB48" s="382">
        <v>0</v>
      </c>
      <c r="AC48" s="378" t="str">
        <f>_xlfn.LET(
  _xlpm.s, IFERROR(--_xlfn.TEXTBEFORE(K48,"/"), K48),
  _xlfn.XLOOKUP(_xlpm.s, 'RAD data'!$J$4:$J$8, 'RAD data'!$K$4:$K$8, "")
)</f>
        <v/>
      </c>
      <c r="AD48" s="382" t="str">
        <f t="shared" si="6"/>
        <v/>
      </c>
      <c r="AE48" s="382">
        <v>0</v>
      </c>
      <c r="AF48" s="378" t="str">
        <f>_xlfn.LET(
  _xlpm.s, IFERROR(--_xlfn.TEXTBEFORE(Q48,"/"), Q48),
  _xlfn.XLOOKUP(_xlpm.s, 'RAD data'!$J$4:$J$8, 'RAD data'!$K$4:$K$8, "")
)</f>
        <v/>
      </c>
      <c r="AG48" s="382" t="str">
        <f t="shared" si="7"/>
        <v/>
      </c>
      <c r="AH48" s="382" t="str">
        <f t="shared" si="8"/>
        <v/>
      </c>
      <c r="AI48" s="383" t="str">
        <f t="shared" si="9"/>
        <v/>
      </c>
    </row>
    <row r="49" spans="1:35" ht="151.80000000000001">
      <c r="A49" s="378"/>
      <c r="B49" s="328" t="str">
        <f t="shared" si="0"/>
        <v>Closed - PR_0042</v>
      </c>
      <c r="C49" s="328" t="s">
        <v>23</v>
      </c>
      <c r="D49" s="374" t="s">
        <v>1658</v>
      </c>
      <c r="E49" s="374" t="s">
        <v>1679</v>
      </c>
      <c r="F49" s="374"/>
      <c r="G49" s="373" t="s">
        <v>1583</v>
      </c>
      <c r="H49" s="374" t="s">
        <v>26</v>
      </c>
      <c r="I49" s="374" t="s">
        <v>47</v>
      </c>
      <c r="J49" s="376"/>
      <c r="K49" s="376"/>
      <c r="L49" s="375" t="str">
        <f>IFERROR(VLOOKUP(CONCATENATE(J49,K49),'Risk matrix1'!$A$2:$C$26,2,FALSE),"")</f>
        <v/>
      </c>
      <c r="M49" s="375"/>
      <c r="N49" s="354" t="s">
        <v>1584</v>
      </c>
      <c r="O49" s="374" t="s">
        <v>48</v>
      </c>
      <c r="P49" s="375"/>
      <c r="Q49" s="375"/>
      <c r="R49" s="375" t="str">
        <f>IFERROR(VLOOKUP(CONCATENATE(P50,Q50),'Risk matrix1'!$A$2:$C$26,2,FALSE),"")</f>
        <v/>
      </c>
      <c r="S49" s="375"/>
      <c r="T49" s="375"/>
      <c r="U49" s="375" t="s">
        <v>38</v>
      </c>
      <c r="V49" s="694"/>
      <c r="W49" s="694"/>
      <c r="X49" s="694"/>
      <c r="Y49" s="390">
        <v>45677</v>
      </c>
      <c r="Z49" s="373" t="s">
        <v>52</v>
      </c>
      <c r="AA49" s="392"/>
      <c r="AB49" s="373"/>
      <c r="AC49" s="378" t="str">
        <f>_xlfn.LET(
  _xlpm.s, IFERROR(--_xlfn.TEXTBEFORE(K49,"/"), K49),
  _xlfn.XLOOKUP(_xlpm.s, 'RAD data'!$J$4:$J$8, 'RAD data'!$K$4:$K$8, "")
)</f>
        <v/>
      </c>
      <c r="AD49" s="695" t="str">
        <f t="shared" si="6"/>
        <v/>
      </c>
      <c r="AE49" s="373"/>
      <c r="AF49" s="378" t="str">
        <f>_xlfn.LET(
  _xlpm.s, IFERROR(--_xlfn.TEXTBEFORE(Q49,"/"), Q49),
  _xlfn.XLOOKUP(_xlpm.s, 'RAD data'!$J$4:$J$8, 'RAD data'!$K$4:$K$8, "")
)</f>
        <v/>
      </c>
      <c r="AG49" s="695" t="str">
        <f t="shared" si="7"/>
        <v/>
      </c>
      <c r="AH49" s="695" t="str">
        <f t="shared" si="8"/>
        <v/>
      </c>
      <c r="AI49" s="696" t="str">
        <f t="shared" si="9"/>
        <v/>
      </c>
    </row>
    <row r="50" spans="1:35" ht="82.8">
      <c r="A50" s="378"/>
      <c r="B50" s="388" t="str">
        <f t="shared" si="0"/>
        <v>Closed - PR_0043</v>
      </c>
      <c r="C50" s="388"/>
      <c r="D50" s="374" t="s">
        <v>1656</v>
      </c>
      <c r="E50" s="374" t="s">
        <v>1676</v>
      </c>
      <c r="F50" s="373"/>
      <c r="G50" s="381" t="s">
        <v>1585</v>
      </c>
      <c r="H50" s="374" t="s">
        <v>26</v>
      </c>
      <c r="I50" s="374" t="s">
        <v>27</v>
      </c>
      <c r="J50" s="376"/>
      <c r="K50" s="376"/>
      <c r="L50" s="375" t="str">
        <f>IFERROR(VLOOKUP(CONCATENATE(J50,K50),'Risk matrix1'!$A$2:$C$26,2,FALSE),"")</f>
        <v/>
      </c>
      <c r="M50" s="375"/>
      <c r="N50" s="359" t="s">
        <v>1586</v>
      </c>
      <c r="O50" s="374" t="s">
        <v>60</v>
      </c>
      <c r="P50" s="375"/>
      <c r="Q50" s="375"/>
      <c r="R50" s="375" t="str">
        <f>IFERROR(VLOOKUP(CONCATENATE(P51,Q51),'Risk matrix1'!$A$2:$C$26,2,FALSE),"")</f>
        <v/>
      </c>
      <c r="S50" s="375"/>
      <c r="T50" s="375"/>
      <c r="U50" s="375" t="s">
        <v>38</v>
      </c>
      <c r="V50" s="694"/>
      <c r="W50" s="694"/>
      <c r="X50" s="694"/>
      <c r="Y50" s="377">
        <v>45212</v>
      </c>
      <c r="Z50" s="373" t="s">
        <v>39</v>
      </c>
      <c r="AA50" s="392"/>
      <c r="AB50" s="373"/>
      <c r="AC50" s="378" t="str">
        <f>_xlfn.LET(
  _xlpm.s, IFERROR(--_xlfn.TEXTBEFORE(K50,"/"), K50),
  _xlfn.XLOOKUP(_xlpm.s, 'RAD data'!$J$4:$J$8, 'RAD data'!$K$4:$K$8, "")
)</f>
        <v/>
      </c>
      <c r="AD50" s="695" t="str">
        <f t="shared" si="6"/>
        <v/>
      </c>
      <c r="AE50" s="373"/>
      <c r="AF50" s="378" t="str">
        <f>_xlfn.LET(
  _xlpm.s, IFERROR(--_xlfn.TEXTBEFORE(Q50,"/"), Q50),
  _xlfn.XLOOKUP(_xlpm.s, 'RAD data'!$J$4:$J$8, 'RAD data'!$K$4:$K$8, "")
)</f>
        <v/>
      </c>
      <c r="AG50" s="695" t="str">
        <f t="shared" si="7"/>
        <v/>
      </c>
      <c r="AH50" s="695" t="str">
        <f t="shared" si="8"/>
        <v/>
      </c>
      <c r="AI50" s="696" t="str">
        <f t="shared" si="9"/>
        <v/>
      </c>
    </row>
    <row r="51" spans="1:35" ht="110.4">
      <c r="A51" s="378"/>
      <c r="B51" s="388" t="str">
        <f t="shared" si="0"/>
        <v>Closed - PR_0044</v>
      </c>
      <c r="C51" s="388"/>
      <c r="D51" s="374" t="s">
        <v>1656</v>
      </c>
      <c r="E51" s="374" t="s">
        <v>1676</v>
      </c>
      <c r="F51" s="373"/>
      <c r="G51" s="381" t="s">
        <v>1587</v>
      </c>
      <c r="H51" s="374" t="s">
        <v>26</v>
      </c>
      <c r="I51" s="374" t="s">
        <v>27</v>
      </c>
      <c r="J51" s="376"/>
      <c r="K51" s="376"/>
      <c r="L51" s="375" t="str">
        <f>IFERROR(VLOOKUP(CONCATENATE(J51,K51),'Risk matrix1'!$A$2:$C$26,2,FALSE),"")</f>
        <v/>
      </c>
      <c r="M51" s="375"/>
      <c r="N51" s="359" t="s">
        <v>1588</v>
      </c>
      <c r="O51" s="374" t="s">
        <v>60</v>
      </c>
      <c r="P51" s="375"/>
      <c r="Q51" s="375"/>
      <c r="R51" s="375" t="str">
        <f>IFERROR(VLOOKUP(CONCATENATE(P52,Q52),'Risk matrix1'!$A$2:$C$26,2,FALSE),"")</f>
        <v/>
      </c>
      <c r="S51" s="375"/>
      <c r="T51" s="375"/>
      <c r="U51" s="375" t="s">
        <v>38</v>
      </c>
      <c r="V51" s="694"/>
      <c r="W51" s="694"/>
      <c r="X51" s="694"/>
      <c r="Y51" s="377">
        <v>45212</v>
      </c>
      <c r="Z51" s="373" t="s">
        <v>39</v>
      </c>
      <c r="AA51" s="392"/>
      <c r="AB51" s="373"/>
      <c r="AC51" s="378" t="str">
        <f>_xlfn.LET(
  _xlpm.s, IFERROR(--_xlfn.TEXTBEFORE(K51,"/"), K51),
  _xlfn.XLOOKUP(_xlpm.s, 'RAD data'!$J$4:$J$8, 'RAD data'!$K$4:$K$8, "")
)</f>
        <v/>
      </c>
      <c r="AD51" s="695" t="str">
        <f t="shared" si="6"/>
        <v/>
      </c>
      <c r="AE51" s="373"/>
      <c r="AF51" s="378" t="str">
        <f>_xlfn.LET(
  _xlpm.s, IFERROR(--_xlfn.TEXTBEFORE(Q51,"/"), Q51),
  _xlfn.XLOOKUP(_xlpm.s, 'RAD data'!$J$4:$J$8, 'RAD data'!$K$4:$K$8, "")
)</f>
        <v/>
      </c>
      <c r="AG51" s="695" t="str">
        <f t="shared" si="7"/>
        <v/>
      </c>
      <c r="AH51" s="695" t="str">
        <f t="shared" si="8"/>
        <v/>
      </c>
      <c r="AI51" s="696" t="str">
        <f t="shared" si="9"/>
        <v/>
      </c>
    </row>
    <row r="52" spans="1:35" ht="69">
      <c r="A52" s="378"/>
      <c r="B52" s="388" t="str">
        <f t="shared" si="0"/>
        <v>Closed - PR_0045</v>
      </c>
      <c r="C52" s="388"/>
      <c r="D52" s="374" t="s">
        <v>1656</v>
      </c>
      <c r="E52" s="374" t="s">
        <v>1676</v>
      </c>
      <c r="F52" s="373"/>
      <c r="G52" s="381" t="s">
        <v>1589</v>
      </c>
      <c r="H52" s="374" t="s">
        <v>26</v>
      </c>
      <c r="I52" s="374" t="s">
        <v>27</v>
      </c>
      <c r="J52" s="376"/>
      <c r="K52" s="376"/>
      <c r="L52" s="375" t="str">
        <f>IFERROR(VLOOKUP(CONCATENATE(J52,K52),'Risk matrix1'!$A$2:$C$26,2,FALSE),"")</f>
        <v/>
      </c>
      <c r="M52" s="375"/>
      <c r="N52" s="359" t="s">
        <v>1590</v>
      </c>
      <c r="O52" s="374" t="s">
        <v>60</v>
      </c>
      <c r="P52" s="375"/>
      <c r="Q52" s="375"/>
      <c r="R52" s="375" t="str">
        <f>IFERROR(VLOOKUP(CONCATENATE(P53,Q53),'Risk matrix1'!$A$2:$C$26,2,FALSE),"")</f>
        <v>Severe</v>
      </c>
      <c r="S52" s="375"/>
      <c r="T52" s="375"/>
      <c r="U52" s="375" t="s">
        <v>38</v>
      </c>
      <c r="V52" s="694"/>
      <c r="W52" s="694"/>
      <c r="X52" s="694"/>
      <c r="Y52" s="377">
        <v>45212</v>
      </c>
      <c r="Z52" s="373" t="s">
        <v>39</v>
      </c>
      <c r="AA52" s="392"/>
      <c r="AB52" s="373"/>
      <c r="AC52" s="378" t="str">
        <f>_xlfn.LET(
  _xlpm.s, IFERROR(--_xlfn.TEXTBEFORE(K52,"/"), K52),
  _xlfn.XLOOKUP(_xlpm.s, 'RAD data'!$J$4:$J$8, 'RAD data'!$K$4:$K$8, "")
)</f>
        <v/>
      </c>
      <c r="AD52" s="695" t="str">
        <f t="shared" si="6"/>
        <v/>
      </c>
      <c r="AE52" s="373"/>
      <c r="AF52" s="378" t="str">
        <f>_xlfn.LET(
  _xlpm.s, IFERROR(--_xlfn.TEXTBEFORE(Q52,"/"), Q52),
  _xlfn.XLOOKUP(_xlpm.s, 'RAD data'!$J$4:$J$8, 'RAD data'!$K$4:$K$8, "")
)</f>
        <v/>
      </c>
      <c r="AG52" s="695" t="str">
        <f t="shared" si="7"/>
        <v/>
      </c>
      <c r="AH52" s="695" t="str">
        <f t="shared" si="8"/>
        <v/>
      </c>
      <c r="AI52" s="696" t="str">
        <f t="shared" si="9"/>
        <v/>
      </c>
    </row>
    <row r="53" spans="1:35" ht="57.75" customHeight="1">
      <c r="A53" s="657"/>
      <c r="B53" s="384" t="str">
        <f t="shared" si="0"/>
        <v>PR_0046</v>
      </c>
      <c r="C53" s="384" t="s">
        <v>23</v>
      </c>
      <c r="D53" s="375" t="s">
        <v>1660</v>
      </c>
      <c r="E53" s="375" t="s">
        <v>1682</v>
      </c>
      <c r="F53" s="658">
        <v>45231</v>
      </c>
      <c r="G53" s="381" t="s">
        <v>1591</v>
      </c>
      <c r="H53" s="375" t="s">
        <v>34</v>
      </c>
      <c r="I53" s="375" t="s">
        <v>59</v>
      </c>
      <c r="J53" s="385">
        <v>5</v>
      </c>
      <c r="K53" s="385">
        <v>3</v>
      </c>
      <c r="L53" s="375" t="str">
        <f>IFERROR(VLOOKUP(CONCATENATE(J53,K53),'Risk matrix1'!$A$2:$C$26,2,FALSE),"")</f>
        <v>Severe</v>
      </c>
      <c r="M53" s="375" t="s">
        <v>1522</v>
      </c>
      <c r="N53" s="354" t="s">
        <v>1592</v>
      </c>
      <c r="O53" s="375" t="s">
        <v>2343</v>
      </c>
      <c r="P53" s="375">
        <v>5</v>
      </c>
      <c r="Q53" s="375">
        <v>2</v>
      </c>
      <c r="R53" s="375" t="str">
        <f>IFERROR(VLOOKUP(CONCATENATE(P54,Q54),'Risk matrix1'!$A$2:$C$26,2,FALSE),"")</f>
        <v>Minor</v>
      </c>
      <c r="S53" s="375" t="s">
        <v>70</v>
      </c>
      <c r="T53" s="375" t="s">
        <v>1519</v>
      </c>
      <c r="U53" s="375" t="s">
        <v>55</v>
      </c>
      <c r="V53" s="691"/>
      <c r="W53" s="691"/>
      <c r="X53" s="692"/>
      <c r="Y53" s="381"/>
      <c r="Z53" s="381"/>
      <c r="AA53" s="392"/>
      <c r="AB53" s="661">
        <v>0</v>
      </c>
      <c r="AC53" s="657">
        <f>_xlfn.LET(
  _xlpm.s, IFERROR(--_xlfn.TEXTBEFORE(K53,"/"), K53),
  _xlfn.XLOOKUP(_xlpm.s, 'RAD data'!$J$4:$J$8, 'RAD data'!$K$4:$K$8, "")
)</f>
        <v>0.6</v>
      </c>
      <c r="AD53" s="661">
        <f t="shared" si="6"/>
        <v>0</v>
      </c>
      <c r="AE53" s="661">
        <v>0</v>
      </c>
      <c r="AF53" s="657">
        <f>_xlfn.LET(
  _xlpm.s, IFERROR(--_xlfn.TEXTBEFORE(Q53,"/"), Q53),
  _xlfn.XLOOKUP(_xlpm.s, 'RAD data'!$J$4:$J$8, 'RAD data'!$K$4:$K$8, "")
)</f>
        <v>0.4</v>
      </c>
      <c r="AG53" s="661">
        <f t="shared" si="7"/>
        <v>0</v>
      </c>
      <c r="AH53" s="661">
        <f t="shared" si="8"/>
        <v>0</v>
      </c>
      <c r="AI53" s="662" t="str">
        <f t="shared" si="9"/>
        <v/>
      </c>
    </row>
    <row r="54" spans="1:35" ht="96.6">
      <c r="A54" s="657"/>
      <c r="B54" s="384" t="str">
        <f t="shared" si="0"/>
        <v>PR_0047</v>
      </c>
      <c r="C54" s="384" t="s">
        <v>23</v>
      </c>
      <c r="D54" s="375" t="s">
        <v>1660</v>
      </c>
      <c r="E54" s="375" t="s">
        <v>1682</v>
      </c>
      <c r="F54" s="658">
        <v>45383</v>
      </c>
      <c r="G54" s="659" t="s">
        <v>1593</v>
      </c>
      <c r="H54" s="375" t="s">
        <v>26</v>
      </c>
      <c r="I54" s="375" t="s">
        <v>58</v>
      </c>
      <c r="J54" s="385">
        <v>3</v>
      </c>
      <c r="K54" s="385">
        <v>3</v>
      </c>
      <c r="L54" s="375" t="str">
        <f>IFERROR(VLOOKUP(CONCATENATE(J54,K54),'Risk matrix1'!$A$2:$C$26,2,FALSE),"")</f>
        <v>Major</v>
      </c>
      <c r="M54" s="375" t="s">
        <v>1522</v>
      </c>
      <c r="N54" s="354" t="s">
        <v>1594</v>
      </c>
      <c r="O54" s="375" t="s">
        <v>2343</v>
      </c>
      <c r="P54" s="375">
        <v>2</v>
      </c>
      <c r="Q54" s="375">
        <v>2</v>
      </c>
      <c r="R54" s="375" t="str">
        <f>IFERROR(VLOOKUP(CONCATENATE(P55,Q55),'Risk matrix1'!$A$2:$C$26,2,FALSE),"")</f>
        <v/>
      </c>
      <c r="S54" s="375" t="s">
        <v>255</v>
      </c>
      <c r="T54" s="375" t="s">
        <v>1538</v>
      </c>
      <c r="U54" s="375" t="s">
        <v>42</v>
      </c>
      <c r="V54" s="691"/>
      <c r="W54" s="691"/>
      <c r="X54" s="692"/>
      <c r="Y54" s="381"/>
      <c r="Z54" s="381"/>
      <c r="AA54" s="392"/>
      <c r="AB54" s="661">
        <v>0</v>
      </c>
      <c r="AC54" s="657">
        <f>_xlfn.LET(
  _xlpm.s, IFERROR(--_xlfn.TEXTBEFORE(K54,"/"), K54),
  _xlfn.XLOOKUP(_xlpm.s, 'RAD data'!$J$4:$J$8, 'RAD data'!$K$4:$K$8, "")
)</f>
        <v>0.6</v>
      </c>
      <c r="AD54" s="661">
        <f t="shared" si="6"/>
        <v>0</v>
      </c>
      <c r="AE54" s="661">
        <v>0</v>
      </c>
      <c r="AF54" s="657">
        <f>_xlfn.LET(
  _xlpm.s, IFERROR(--_xlfn.TEXTBEFORE(Q54,"/"), Q54),
  _xlfn.XLOOKUP(_xlpm.s, 'RAD data'!$J$4:$J$8, 'RAD data'!$K$4:$K$8, "")
)</f>
        <v>0.4</v>
      </c>
      <c r="AG54" s="661">
        <f t="shared" si="7"/>
        <v>0</v>
      </c>
      <c r="AH54" s="661">
        <f t="shared" si="8"/>
        <v>0</v>
      </c>
      <c r="AI54" s="662" t="str">
        <f t="shared" si="9"/>
        <v/>
      </c>
    </row>
    <row r="55" spans="1:35" ht="87" customHeight="1">
      <c r="A55" s="378"/>
      <c r="B55" s="328" t="str">
        <f>IF(U55="Closed","Closed - " &amp; IF(G55&lt;&gt;"","PR_" &amp; TEXT(ROW(G55)-7,"0000"),""), IF(G55&lt;&gt;"","PR_" &amp; TEXT(ROW(G55)-7,"0000"),""))</f>
        <v>Closed - PR_0048</v>
      </c>
      <c r="C55" s="328"/>
      <c r="D55" s="374" t="s">
        <v>1662</v>
      </c>
      <c r="E55" s="374" t="s">
        <v>1673</v>
      </c>
      <c r="F55" s="374"/>
      <c r="G55" s="373" t="s">
        <v>1595</v>
      </c>
      <c r="H55" s="374" t="s">
        <v>26</v>
      </c>
      <c r="I55" s="374" t="s">
        <v>58</v>
      </c>
      <c r="J55" s="376"/>
      <c r="K55" s="376"/>
      <c r="L55" s="375" t="str">
        <f>IFERROR(VLOOKUP(CONCATENATE(J55,K55),'Risk matrix1'!$A$2:$C$26,2,FALSE),"")</f>
        <v/>
      </c>
      <c r="M55" s="375"/>
      <c r="N55" s="354" t="s">
        <v>1596</v>
      </c>
      <c r="O55" s="374" t="s">
        <v>48</v>
      </c>
      <c r="P55" s="375"/>
      <c r="Q55" s="375"/>
      <c r="R55" s="375" t="str">
        <f>IFERROR(VLOOKUP(CONCATENATE(P56,Q56),'Risk matrix1'!$A$2:$C$26,2,FALSE),"")</f>
        <v/>
      </c>
      <c r="S55" s="375"/>
      <c r="T55" s="375"/>
      <c r="U55" s="375" t="s">
        <v>38</v>
      </c>
      <c r="V55" s="697"/>
      <c r="W55" s="697"/>
      <c r="X55" s="698"/>
      <c r="Y55" s="373"/>
      <c r="Z55" s="373"/>
      <c r="AA55" s="392"/>
      <c r="AB55" s="382">
        <v>0</v>
      </c>
      <c r="AC55" s="378" t="str">
        <f>_xlfn.LET(
  _xlpm.s, IFERROR(--_xlfn.TEXTBEFORE(K55,"/"), K55),
  _xlfn.XLOOKUP(_xlpm.s, 'RAD data'!$J$4:$J$8, 'RAD data'!$K$4:$K$8, "")
)</f>
        <v/>
      </c>
      <c r="AD55" s="382" t="str">
        <f t="shared" si="6"/>
        <v/>
      </c>
      <c r="AE55" s="382">
        <v>0</v>
      </c>
      <c r="AF55" s="378" t="str">
        <f>_xlfn.LET(
  _xlpm.s, IFERROR(--_xlfn.TEXTBEFORE(Q55,"/"), Q55),
  _xlfn.XLOOKUP(_xlpm.s, 'RAD data'!$J$4:$J$8, 'RAD data'!$K$4:$K$8, "")
)</f>
        <v/>
      </c>
      <c r="AG55" s="382" t="str">
        <f t="shared" si="7"/>
        <v/>
      </c>
      <c r="AH55" s="382" t="str">
        <f t="shared" si="8"/>
        <v/>
      </c>
      <c r="AI55" s="383" t="str">
        <f t="shared" si="9"/>
        <v/>
      </c>
    </row>
    <row r="56" spans="1:35" ht="109.5" customHeight="1">
      <c r="A56" s="378"/>
      <c r="B56" s="328" t="str">
        <f t="shared" si="0"/>
        <v>Closed - PR_0049</v>
      </c>
      <c r="C56" s="328" t="s">
        <v>23</v>
      </c>
      <c r="D56" s="374" t="s">
        <v>1660</v>
      </c>
      <c r="E56" s="374" t="s">
        <v>1682</v>
      </c>
      <c r="F56" s="374"/>
      <c r="G56" s="373" t="s">
        <v>1428</v>
      </c>
      <c r="H56" s="374" t="s">
        <v>43</v>
      </c>
      <c r="I56" s="374" t="s">
        <v>58</v>
      </c>
      <c r="J56" s="376"/>
      <c r="K56" s="376"/>
      <c r="L56" s="375" t="str">
        <f>IFERROR(VLOOKUP(CONCATENATE(J56,K56),'Risk matrix1'!$A$2:$C$26,2,FALSE),"")</f>
        <v/>
      </c>
      <c r="M56" s="375"/>
      <c r="N56" s="355" t="s">
        <v>1429</v>
      </c>
      <c r="O56" s="374" t="s">
        <v>61</v>
      </c>
      <c r="P56" s="375"/>
      <c r="Q56" s="375"/>
      <c r="R56" s="375" t="str">
        <f>IFERROR(VLOOKUP(CONCATENATE(P57,Q57),'Risk matrix1'!$A$2:$C$26,2,FALSE),"")</f>
        <v/>
      </c>
      <c r="S56" s="375"/>
      <c r="T56" s="375"/>
      <c r="U56" s="374" t="s">
        <v>38</v>
      </c>
      <c r="V56" s="694"/>
      <c r="W56" s="694"/>
      <c r="X56" s="694"/>
      <c r="Y56" s="377">
        <v>45896</v>
      </c>
      <c r="Z56" s="373" t="s">
        <v>1520</v>
      </c>
      <c r="AA56" s="392"/>
      <c r="AB56" s="382">
        <v>0</v>
      </c>
      <c r="AC56" s="378" t="str">
        <f>_xlfn.LET(
  _xlpm.s, IFERROR(--_xlfn.TEXTBEFORE(K56,"/"), K56),
  _xlfn.XLOOKUP(_xlpm.s, 'RAD data'!$J$4:$J$8, 'RAD data'!$K$4:$K$8, "")
)</f>
        <v/>
      </c>
      <c r="AD56" s="382" t="str">
        <f t="shared" si="6"/>
        <v/>
      </c>
      <c r="AE56" s="382">
        <v>0</v>
      </c>
      <c r="AF56" s="378" t="str">
        <f>_xlfn.LET(
  _xlpm.s, IFERROR(--_xlfn.TEXTBEFORE(Q56,"/"), Q56),
  _xlfn.XLOOKUP(_xlpm.s, 'RAD data'!$J$4:$J$8, 'RAD data'!$K$4:$K$8, "")
)</f>
        <v/>
      </c>
      <c r="AG56" s="382" t="str">
        <f t="shared" si="7"/>
        <v/>
      </c>
      <c r="AH56" s="382" t="str">
        <f t="shared" si="8"/>
        <v/>
      </c>
      <c r="AI56" s="383" t="str">
        <f t="shared" si="9"/>
        <v/>
      </c>
    </row>
    <row r="57" spans="1:35" ht="256.5" customHeight="1">
      <c r="A57" s="378"/>
      <c r="B57" s="328" t="str">
        <f t="shared" si="0"/>
        <v>Closed - PR_0050</v>
      </c>
      <c r="C57" s="328" t="s">
        <v>23</v>
      </c>
      <c r="D57" s="374" t="s">
        <v>1694</v>
      </c>
      <c r="E57" s="374" t="s">
        <v>1695</v>
      </c>
      <c r="F57" s="374"/>
      <c r="G57" s="394" t="s">
        <v>1431</v>
      </c>
      <c r="H57" s="374" t="s">
        <v>26</v>
      </c>
      <c r="I57" s="374" t="s">
        <v>46</v>
      </c>
      <c r="J57" s="376"/>
      <c r="K57" s="376"/>
      <c r="L57" s="375" t="str">
        <f>IFERROR(VLOOKUP(CONCATENATE(J57,K57),'Risk matrix1'!$A$2:$C$26,2,FALSE),"")</f>
        <v/>
      </c>
      <c r="M57" s="375"/>
      <c r="N57" s="355" t="s">
        <v>1432</v>
      </c>
      <c r="O57" s="374" t="s">
        <v>43</v>
      </c>
      <c r="P57" s="375"/>
      <c r="Q57" s="375"/>
      <c r="R57" s="375" t="str">
        <f>IFERROR(VLOOKUP(CONCATENATE(P58,Q58),'Risk matrix1'!$A$2:$C$26,2,FALSE),"")</f>
        <v/>
      </c>
      <c r="S57" s="375"/>
      <c r="T57" s="375"/>
      <c r="U57" s="374" t="s">
        <v>38</v>
      </c>
      <c r="V57" s="694"/>
      <c r="W57" s="694"/>
      <c r="X57" s="694"/>
      <c r="Y57" s="377">
        <v>45896</v>
      </c>
      <c r="Z57" s="373" t="s">
        <v>1520</v>
      </c>
      <c r="AA57" s="392"/>
      <c r="AB57" s="382">
        <v>0</v>
      </c>
      <c r="AC57" s="378" t="str">
        <f>_xlfn.LET(
  _xlpm.s, IFERROR(--_xlfn.TEXTBEFORE(K57,"/"), K57),
  _xlfn.XLOOKUP(_xlpm.s, 'RAD data'!$J$4:$J$8, 'RAD data'!$K$4:$K$8, "")
)</f>
        <v/>
      </c>
      <c r="AD57" s="382" t="str">
        <f t="shared" si="6"/>
        <v/>
      </c>
      <c r="AE57" s="382">
        <v>0</v>
      </c>
      <c r="AF57" s="378" t="str">
        <f>_xlfn.LET(
  _xlpm.s, IFERROR(--_xlfn.TEXTBEFORE(Q57,"/"), Q57),
  _xlfn.XLOOKUP(_xlpm.s, 'RAD data'!$J$4:$J$8, 'RAD data'!$K$4:$K$8, "")
)</f>
        <v/>
      </c>
      <c r="AG57" s="382" t="str">
        <f t="shared" si="7"/>
        <v/>
      </c>
      <c r="AH57" s="382" t="str">
        <f t="shared" si="8"/>
        <v/>
      </c>
      <c r="AI57" s="383" t="str">
        <f t="shared" si="9"/>
        <v/>
      </c>
    </row>
    <row r="58" spans="1:35" ht="124.2">
      <c r="A58" s="378"/>
      <c r="B58" s="328" t="str">
        <f>IF(U58="Closed","Closed - " &amp; IF(G58&lt;&gt;"","PR_" &amp; TEXT(ROW(G58)-7,"0000"),""), IF(G58&lt;&gt;"","PR_" &amp; TEXT(ROW(G58)-7,"0000"),""))</f>
        <v>Closed - PR_0051</v>
      </c>
      <c r="C58" s="328" t="s">
        <v>23</v>
      </c>
      <c r="D58" s="374" t="s">
        <v>1658</v>
      </c>
      <c r="E58" s="374" t="s">
        <v>1679</v>
      </c>
      <c r="F58" s="374"/>
      <c r="G58" s="373" t="s">
        <v>1597</v>
      </c>
      <c r="H58" s="374" t="s">
        <v>34</v>
      </c>
      <c r="I58" s="374" t="s">
        <v>62</v>
      </c>
      <c r="J58" s="376"/>
      <c r="K58" s="376"/>
      <c r="L58" s="375" t="str">
        <f>IFERROR(VLOOKUP(CONCATENATE(J58,K58),'Risk matrix1'!$A$2:$C$26,2,FALSE),"")</f>
        <v/>
      </c>
      <c r="M58" s="375"/>
      <c r="N58" s="354" t="s">
        <v>1598</v>
      </c>
      <c r="O58" s="374" t="s">
        <v>61</v>
      </c>
      <c r="P58" s="375"/>
      <c r="Q58" s="375"/>
      <c r="R58" s="375" t="str">
        <f>IFERROR(VLOOKUP(CONCATENATE(P59,Q59),'Risk matrix1'!$A$2:$C$26,2,FALSE),"")</f>
        <v/>
      </c>
      <c r="S58" s="375"/>
      <c r="T58" s="375"/>
      <c r="U58" s="374" t="s">
        <v>38</v>
      </c>
      <c r="V58" s="694"/>
      <c r="W58" s="694"/>
      <c r="X58" s="694"/>
      <c r="Y58" s="377">
        <v>45896</v>
      </c>
      <c r="Z58" s="373" t="s">
        <v>1520</v>
      </c>
      <c r="AA58" s="392"/>
      <c r="AB58" s="382">
        <v>0</v>
      </c>
      <c r="AC58" s="378" t="str">
        <f>_xlfn.LET(
  _xlpm.s, IFERROR(--_xlfn.TEXTBEFORE(K58,"/"), K58),
  _xlfn.XLOOKUP(_xlpm.s, 'RAD data'!$J$4:$J$8, 'RAD data'!$K$4:$K$8, "")
)</f>
        <v/>
      </c>
      <c r="AD58" s="382" t="str">
        <f t="shared" si="6"/>
        <v/>
      </c>
      <c r="AE58" s="382">
        <v>0</v>
      </c>
      <c r="AF58" s="378" t="str">
        <f>_xlfn.LET(
  _xlpm.s, IFERROR(--_xlfn.TEXTBEFORE(Q58,"/"), Q58),
  _xlfn.XLOOKUP(_xlpm.s, 'RAD data'!$J$4:$J$8, 'RAD data'!$K$4:$K$8, "")
)</f>
        <v/>
      </c>
      <c r="AG58" s="382" t="str">
        <f t="shared" si="7"/>
        <v/>
      </c>
      <c r="AH58" s="382" t="str">
        <f t="shared" si="8"/>
        <v/>
      </c>
      <c r="AI58" s="383" t="str">
        <f t="shared" si="9"/>
        <v/>
      </c>
    </row>
    <row r="59" spans="1:35" ht="248.4">
      <c r="A59" s="378"/>
      <c r="B59" s="328" t="str">
        <f t="shared" si="0"/>
        <v>Closed - PR_0052</v>
      </c>
      <c r="C59" s="328" t="s">
        <v>23</v>
      </c>
      <c r="D59" s="374" t="s">
        <v>1658</v>
      </c>
      <c r="E59" s="374" t="s">
        <v>1679</v>
      </c>
      <c r="F59" s="374"/>
      <c r="G59" s="373" t="s">
        <v>1434</v>
      </c>
      <c r="H59" s="374" t="s">
        <v>34</v>
      </c>
      <c r="I59" s="374" t="s">
        <v>58</v>
      </c>
      <c r="J59" s="376"/>
      <c r="K59" s="376"/>
      <c r="L59" s="375" t="str">
        <f>IFERROR(VLOOKUP(CONCATENATE(J59,K59),'Risk matrix1'!$A$2:$C$26,2,FALSE),"")</f>
        <v/>
      </c>
      <c r="M59" s="375"/>
      <c r="N59" s="354" t="s">
        <v>1435</v>
      </c>
      <c r="O59" s="374" t="s">
        <v>61</v>
      </c>
      <c r="P59" s="375"/>
      <c r="Q59" s="375"/>
      <c r="R59" s="375" t="str">
        <f>IFERROR(VLOOKUP(CONCATENATE(P60,Q60),'Risk matrix1'!$A$2:$C$26,2,FALSE),"")</f>
        <v/>
      </c>
      <c r="S59" s="375"/>
      <c r="T59" s="375"/>
      <c r="U59" s="374" t="s">
        <v>38</v>
      </c>
      <c r="V59" s="694"/>
      <c r="W59" s="694"/>
      <c r="X59" s="694"/>
      <c r="Y59" s="377">
        <v>45896</v>
      </c>
      <c r="Z59" s="373" t="s">
        <v>1520</v>
      </c>
      <c r="AA59" s="392"/>
      <c r="AB59" s="382">
        <v>0</v>
      </c>
      <c r="AC59" s="378" t="str">
        <f>_xlfn.LET(
  _xlpm.s, IFERROR(--_xlfn.TEXTBEFORE(K59,"/"), K59),
  _xlfn.XLOOKUP(_xlpm.s, 'RAD data'!$J$4:$J$8, 'RAD data'!$K$4:$K$8, "")
)</f>
        <v/>
      </c>
      <c r="AD59" s="382" t="str">
        <f t="shared" si="6"/>
        <v/>
      </c>
      <c r="AE59" s="382">
        <v>0</v>
      </c>
      <c r="AF59" s="378" t="str">
        <f>_xlfn.LET(
  _xlpm.s, IFERROR(--_xlfn.TEXTBEFORE(Q59,"/"), Q59),
  _xlfn.XLOOKUP(_xlpm.s, 'RAD data'!$J$4:$J$8, 'RAD data'!$K$4:$K$8, "")
)</f>
        <v/>
      </c>
      <c r="AG59" s="382" t="str">
        <f t="shared" si="7"/>
        <v/>
      </c>
      <c r="AH59" s="382" t="str">
        <f t="shared" si="8"/>
        <v/>
      </c>
      <c r="AI59" s="383" t="str">
        <f t="shared" si="9"/>
        <v/>
      </c>
    </row>
    <row r="60" spans="1:35" ht="234.6">
      <c r="A60" s="378"/>
      <c r="B60" s="328" t="str">
        <f t="shared" si="0"/>
        <v>Closed - PR_0053</v>
      </c>
      <c r="C60" s="328" t="s">
        <v>63</v>
      </c>
      <c r="D60" s="374" t="s">
        <v>1652</v>
      </c>
      <c r="E60" s="374" t="s">
        <v>1688</v>
      </c>
      <c r="F60" s="374"/>
      <c r="G60" s="373" t="s">
        <v>1599</v>
      </c>
      <c r="H60" s="374" t="s">
        <v>34</v>
      </c>
      <c r="I60" s="374" t="s">
        <v>58</v>
      </c>
      <c r="J60" s="376"/>
      <c r="K60" s="376"/>
      <c r="L60" s="375" t="str">
        <f>IFERROR(VLOOKUP(CONCATENATE(J60,K60),'Risk matrix1'!$A$2:$C$26,2,FALSE),"")</f>
        <v/>
      </c>
      <c r="M60" s="375"/>
      <c r="N60" s="354" t="s">
        <v>1600</v>
      </c>
      <c r="O60" s="374" t="s">
        <v>64</v>
      </c>
      <c r="P60" s="375"/>
      <c r="Q60" s="375"/>
      <c r="R60" s="375" t="str">
        <f>IFERROR(VLOOKUP(CONCATENATE(P61,Q61),'Risk matrix1'!$A$2:$C$26,2,FALSE),"")</f>
        <v>Minor</v>
      </c>
      <c r="S60" s="375"/>
      <c r="T60" s="375"/>
      <c r="U60" s="375" t="s">
        <v>38</v>
      </c>
      <c r="V60" s="694"/>
      <c r="W60" s="694"/>
      <c r="X60" s="694"/>
      <c r="Y60" s="377">
        <v>45677</v>
      </c>
      <c r="Z60" s="373" t="s">
        <v>52</v>
      </c>
      <c r="AA60" s="392"/>
      <c r="AB60" s="373"/>
      <c r="AC60" s="378" t="str">
        <f>_xlfn.LET(
  _xlpm.s, IFERROR(--_xlfn.TEXTBEFORE(K60,"/"), K60),
  _xlfn.XLOOKUP(_xlpm.s, 'RAD data'!$J$4:$J$8, 'RAD data'!$K$4:$K$8, "")
)</f>
        <v/>
      </c>
      <c r="AD60" s="695" t="str">
        <f t="shared" si="6"/>
        <v/>
      </c>
      <c r="AE60" s="373"/>
      <c r="AF60" s="378" t="str">
        <f>_xlfn.LET(
  _xlpm.s, IFERROR(--_xlfn.TEXTBEFORE(Q60,"/"), Q60),
  _xlfn.XLOOKUP(_xlpm.s, 'RAD data'!$J$4:$J$8, 'RAD data'!$K$4:$K$8, "")
)</f>
        <v/>
      </c>
      <c r="AG60" s="695" t="str">
        <f t="shared" si="7"/>
        <v/>
      </c>
      <c r="AH60" s="695" t="str">
        <f t="shared" si="8"/>
        <v/>
      </c>
      <c r="AI60" s="696" t="str">
        <f t="shared" si="9"/>
        <v/>
      </c>
    </row>
    <row r="61" spans="1:35" ht="110.4">
      <c r="A61" s="657"/>
      <c r="B61" s="384" t="str">
        <f t="shared" si="0"/>
        <v>PR_0054</v>
      </c>
      <c r="C61" s="384" t="s">
        <v>63</v>
      </c>
      <c r="D61" s="375" t="s">
        <v>1658</v>
      </c>
      <c r="E61" s="375" t="s">
        <v>1679</v>
      </c>
      <c r="F61" s="658">
        <v>45505</v>
      </c>
      <c r="G61" s="660" t="s">
        <v>1601</v>
      </c>
      <c r="H61" s="375" t="s">
        <v>26</v>
      </c>
      <c r="I61" s="375" t="s">
        <v>53</v>
      </c>
      <c r="J61" s="385">
        <v>2</v>
      </c>
      <c r="K61" s="385">
        <v>3</v>
      </c>
      <c r="L61" s="375" t="str">
        <f>IFERROR(VLOOKUP(CONCATENATE(J61,K61),'Risk matrix1'!$A$2:$C$26,2,FALSE),"")</f>
        <v>Moderate</v>
      </c>
      <c r="M61" s="375" t="s">
        <v>1522</v>
      </c>
      <c r="N61" s="699" t="s">
        <v>1602</v>
      </c>
      <c r="O61" s="375" t="s">
        <v>158</v>
      </c>
      <c r="P61" s="375">
        <v>2</v>
      </c>
      <c r="Q61" s="375">
        <v>2</v>
      </c>
      <c r="R61" s="375" t="str">
        <f>IFERROR(VLOOKUP(CONCATENATE(P62,Q62),'Risk matrix1'!$A$2:$C$26,2,FALSE),"")</f>
        <v/>
      </c>
      <c r="S61" s="375" t="s">
        <v>254</v>
      </c>
      <c r="T61" s="375" t="s">
        <v>1519</v>
      </c>
      <c r="U61" s="375" t="s">
        <v>42</v>
      </c>
      <c r="V61" s="691"/>
      <c r="W61" s="691"/>
      <c r="X61" s="692"/>
      <c r="Y61" s="381"/>
      <c r="Z61" s="381"/>
      <c r="AA61" s="392"/>
      <c r="AB61" s="661">
        <v>1000000</v>
      </c>
      <c r="AC61" s="657">
        <f>_xlfn.LET(
  _xlpm.s, IFERROR(--_xlfn.TEXTBEFORE(K61,"/"), K61),
  _xlfn.XLOOKUP(_xlpm.s, 'RAD data'!$J$4:$J$8, 'RAD data'!$K$4:$K$8, "")
)</f>
        <v>0.6</v>
      </c>
      <c r="AD61" s="661">
        <f t="shared" si="6"/>
        <v>600000</v>
      </c>
      <c r="AE61" s="661">
        <v>1000000</v>
      </c>
      <c r="AF61" s="657">
        <f>_xlfn.LET(
  _xlpm.s, IFERROR(--_xlfn.TEXTBEFORE(Q61,"/"), Q61),
  _xlfn.XLOOKUP(_xlpm.s, 'RAD data'!$J$4:$J$8, 'RAD data'!$K$4:$K$8, "")
)</f>
        <v>0.4</v>
      </c>
      <c r="AG61" s="661">
        <f t="shared" si="7"/>
        <v>400000</v>
      </c>
      <c r="AH61" s="661">
        <f t="shared" si="8"/>
        <v>200000</v>
      </c>
      <c r="AI61" s="662">
        <f t="shared" si="9"/>
        <v>0.33333333333333331</v>
      </c>
    </row>
    <row r="62" spans="1:35" ht="110.4">
      <c r="A62" s="378"/>
      <c r="B62" s="328" t="str">
        <f>IF(U62="Closed","Closed - " &amp; IF(G62&lt;&gt;"","PR_" &amp; TEXT(ROW(G62)-7,"0000"),""), IF(G62&lt;&gt;"","PR_" &amp; TEXT(ROW(G62)-7,"0000"),""))</f>
        <v>Closed - PR_0055</v>
      </c>
      <c r="C62" s="328" t="s">
        <v>63</v>
      </c>
      <c r="D62" s="374" t="s">
        <v>1662</v>
      </c>
      <c r="E62" s="395" t="s">
        <v>1673</v>
      </c>
      <c r="F62" s="395"/>
      <c r="G62" s="396" t="s">
        <v>1437</v>
      </c>
      <c r="H62" s="374" t="s">
        <v>26</v>
      </c>
      <c r="I62" s="374" t="s">
        <v>51</v>
      </c>
      <c r="J62" s="376"/>
      <c r="K62" s="376"/>
      <c r="L62" s="375" t="str">
        <f>IFERROR(VLOOKUP(CONCATENATE(J62,K62),'Risk matrix1'!$A$2:$C$26,2,FALSE),"")</f>
        <v/>
      </c>
      <c r="M62" s="375"/>
      <c r="N62" s="359" t="s">
        <v>1438</v>
      </c>
      <c r="O62" s="374" t="s">
        <v>48</v>
      </c>
      <c r="P62" s="375"/>
      <c r="Q62" s="375"/>
      <c r="R62" s="375" t="str">
        <f>IFERROR(VLOOKUP(CONCATENATE(P63,Q63),'Risk matrix1'!$A$2:$C$26,2,FALSE),"")</f>
        <v>Major</v>
      </c>
      <c r="S62" s="375"/>
      <c r="T62" s="375"/>
      <c r="U62" s="374" t="s">
        <v>38</v>
      </c>
      <c r="V62" s="694"/>
      <c r="W62" s="694"/>
      <c r="X62" s="694"/>
      <c r="Y62" s="377">
        <v>45896</v>
      </c>
      <c r="Z62" s="373" t="s">
        <v>1520</v>
      </c>
      <c r="AA62" s="392"/>
      <c r="AB62" s="382">
        <v>0</v>
      </c>
      <c r="AC62" s="378" t="str">
        <f>_xlfn.LET(
  _xlpm.s, IFERROR(--_xlfn.TEXTBEFORE(K62,"/"), K62),
  _xlfn.XLOOKUP(_xlpm.s, 'RAD data'!$J$4:$J$8, 'RAD data'!$K$4:$K$8, "")
)</f>
        <v/>
      </c>
      <c r="AD62" s="382" t="str">
        <f t="shared" si="6"/>
        <v/>
      </c>
      <c r="AE62" s="382">
        <v>0</v>
      </c>
      <c r="AF62" s="378" t="str">
        <f>_xlfn.LET(
  _xlpm.s, IFERROR(--_xlfn.TEXTBEFORE(Q62,"/"), Q62),
  _xlfn.XLOOKUP(_xlpm.s, 'RAD data'!$J$4:$J$8, 'RAD data'!$K$4:$K$8, "")
)</f>
        <v/>
      </c>
      <c r="AG62" s="382" t="str">
        <f t="shared" si="7"/>
        <v/>
      </c>
      <c r="AH62" s="382" t="str">
        <f t="shared" si="8"/>
        <v/>
      </c>
      <c r="AI62" s="383" t="str">
        <f t="shared" si="9"/>
        <v/>
      </c>
    </row>
    <row r="63" spans="1:35" ht="69">
      <c r="A63" s="657"/>
      <c r="B63" s="384" t="str">
        <f t="shared" si="0"/>
        <v>PR_0056</v>
      </c>
      <c r="C63" s="384" t="s">
        <v>63</v>
      </c>
      <c r="D63" s="375" t="s">
        <v>1662</v>
      </c>
      <c r="E63" s="375" t="s">
        <v>1673</v>
      </c>
      <c r="F63" s="658">
        <v>45505</v>
      </c>
      <c r="G63" s="381" t="s">
        <v>1603</v>
      </c>
      <c r="H63" s="375" t="s">
        <v>29</v>
      </c>
      <c r="I63" s="375" t="s">
        <v>57</v>
      </c>
      <c r="J63" s="385">
        <v>5</v>
      </c>
      <c r="K63" s="385">
        <v>3</v>
      </c>
      <c r="L63" s="375" t="str">
        <f>IFERROR(VLOOKUP(CONCATENATE(J63,K63),'Risk matrix1'!$A$2:$C$26,2,FALSE),"")</f>
        <v>Severe</v>
      </c>
      <c r="M63" s="375" t="s">
        <v>1522</v>
      </c>
      <c r="N63" s="359" t="s">
        <v>1604</v>
      </c>
      <c r="O63" s="375" t="s">
        <v>161</v>
      </c>
      <c r="P63" s="375">
        <v>4</v>
      </c>
      <c r="Q63" s="375">
        <v>2</v>
      </c>
      <c r="R63" s="375" t="str">
        <f>IFERROR(VLOOKUP(CONCATENATE(P64,Q64),'Risk matrix1'!$A$2:$C$26,2,FALSE),"")</f>
        <v>Minor</v>
      </c>
      <c r="S63" s="375" t="s">
        <v>254</v>
      </c>
      <c r="T63" s="375" t="s">
        <v>1538</v>
      </c>
      <c r="U63" s="375" t="s">
        <v>42</v>
      </c>
      <c r="V63" s="691"/>
      <c r="W63" s="691"/>
      <c r="X63" s="692"/>
      <c r="Y63" s="381"/>
      <c r="Z63" s="381"/>
      <c r="AA63" s="392"/>
      <c r="AB63" s="661">
        <v>150000000</v>
      </c>
      <c r="AC63" s="657">
        <f>_xlfn.LET(
  _xlpm.s, IFERROR(--_xlfn.TEXTBEFORE(K63,"/"), K63),
  _xlfn.XLOOKUP(_xlpm.s, 'RAD data'!$J$4:$J$8, 'RAD data'!$K$4:$K$8, "")
)</f>
        <v>0.6</v>
      </c>
      <c r="AD63" s="661">
        <f t="shared" si="6"/>
        <v>90000000</v>
      </c>
      <c r="AE63" s="661">
        <v>150000000</v>
      </c>
      <c r="AF63" s="657">
        <f>_xlfn.LET(
  _xlpm.s, IFERROR(--_xlfn.TEXTBEFORE(Q63,"/"), Q63),
  _xlfn.XLOOKUP(_xlpm.s, 'RAD data'!$J$4:$J$8, 'RAD data'!$K$4:$K$8, "")
)</f>
        <v>0.4</v>
      </c>
      <c r="AG63" s="661">
        <f t="shared" si="7"/>
        <v>60000000</v>
      </c>
      <c r="AH63" s="661">
        <f t="shared" si="8"/>
        <v>30000000</v>
      </c>
      <c r="AI63" s="662">
        <f t="shared" si="9"/>
        <v>0.33333333333333331</v>
      </c>
    </row>
    <row r="64" spans="1:35" ht="138">
      <c r="A64" s="657"/>
      <c r="B64" s="384" t="str">
        <f t="shared" si="0"/>
        <v>PR_0057</v>
      </c>
      <c r="C64" s="384" t="s">
        <v>63</v>
      </c>
      <c r="D64" s="375" t="s">
        <v>1650</v>
      </c>
      <c r="E64" s="375" t="s">
        <v>1685</v>
      </c>
      <c r="F64" s="658">
        <v>45505</v>
      </c>
      <c r="G64" s="660" t="s">
        <v>1605</v>
      </c>
      <c r="H64" s="375" t="s">
        <v>26</v>
      </c>
      <c r="I64" s="375" t="s">
        <v>49</v>
      </c>
      <c r="J64" s="385" t="s">
        <v>1606</v>
      </c>
      <c r="K64" s="385" t="s">
        <v>1607</v>
      </c>
      <c r="L64" s="375" t="str">
        <f>IFERROR(VLOOKUP(CONCATENATE(J64,K64),'Risk matrix1'!$A$2:$C$26,2,FALSE),"")</f>
        <v>Major</v>
      </c>
      <c r="M64" s="375" t="s">
        <v>1522</v>
      </c>
      <c r="N64" s="699" t="s">
        <v>1608</v>
      </c>
      <c r="O64" s="375" t="s">
        <v>41</v>
      </c>
      <c r="P64" s="375">
        <v>3</v>
      </c>
      <c r="Q64" s="375">
        <v>1</v>
      </c>
      <c r="R64" s="375" t="str">
        <f>IFERROR(VLOOKUP(CONCATENATE(P65,Q65),'Risk matrix1'!$A$2:$C$26,2,FALSE),"")</f>
        <v>Major</v>
      </c>
      <c r="S64" s="375" t="s">
        <v>254</v>
      </c>
      <c r="T64" s="375" t="s">
        <v>1519</v>
      </c>
      <c r="U64" s="375" t="s">
        <v>30</v>
      </c>
      <c r="V64" s="691"/>
      <c r="W64" s="691"/>
      <c r="X64" s="692"/>
      <c r="Y64" s="381"/>
      <c r="Z64" s="381"/>
      <c r="AA64" s="392"/>
      <c r="AB64" s="661">
        <v>10000000</v>
      </c>
      <c r="AC64" s="657" t="str">
        <f>_xlfn.LET(
  _xlpm.s, IFERROR(--_xlfn.TEXTBEFORE(K64,"/"), K64),
  _xlfn.XLOOKUP(_xlpm.s, 'RAD data'!$J$4:$J$8, 'RAD data'!$K$4:$K$8, "")
)</f>
        <v/>
      </c>
      <c r="AD64" s="661" t="str">
        <f t="shared" si="6"/>
        <v/>
      </c>
      <c r="AE64" s="661">
        <v>5000000</v>
      </c>
      <c r="AF64" s="657">
        <f>_xlfn.LET(
  _xlpm.s, IFERROR(--_xlfn.TEXTBEFORE(Q64,"/"), Q64),
  _xlfn.XLOOKUP(_xlpm.s, 'RAD data'!$J$4:$J$8, 'RAD data'!$K$4:$K$8, "")
)</f>
        <v>0.2</v>
      </c>
      <c r="AG64" s="661">
        <f t="shared" si="7"/>
        <v>1000000</v>
      </c>
      <c r="AH64" s="661" t="str">
        <f t="shared" si="8"/>
        <v/>
      </c>
      <c r="AI64" s="662" t="str">
        <f t="shared" si="9"/>
        <v/>
      </c>
    </row>
    <row r="65" spans="1:35" ht="82.8">
      <c r="A65" s="657"/>
      <c r="B65" s="384" t="str">
        <f t="shared" si="0"/>
        <v>PR_0058</v>
      </c>
      <c r="C65" s="384" t="s">
        <v>23</v>
      </c>
      <c r="D65" s="375" t="s">
        <v>1650</v>
      </c>
      <c r="E65" s="375" t="s">
        <v>1685</v>
      </c>
      <c r="F65" s="658">
        <v>45505</v>
      </c>
      <c r="G65" s="381" t="s">
        <v>1609</v>
      </c>
      <c r="H65" s="375" t="s">
        <v>26</v>
      </c>
      <c r="I65" s="375" t="s">
        <v>44</v>
      </c>
      <c r="J65" s="375">
        <v>4</v>
      </c>
      <c r="K65" s="385">
        <v>4</v>
      </c>
      <c r="L65" s="375" t="str">
        <f>IFERROR(VLOOKUP(CONCATENATE(J65,K65),'Risk matrix1'!$A$2:$C$26,2,FALSE),"")</f>
        <v>Severe</v>
      </c>
      <c r="M65" s="375" t="s">
        <v>1522</v>
      </c>
      <c r="N65" s="699" t="s">
        <v>1610</v>
      </c>
      <c r="O65" s="375" t="s">
        <v>41</v>
      </c>
      <c r="P65" s="375">
        <v>4</v>
      </c>
      <c r="Q65" s="375">
        <v>3</v>
      </c>
      <c r="R65" s="375" t="str">
        <f>IFERROR(VLOOKUP(CONCATENATE(P66,Q66),'Risk matrix1'!$A$2:$C$26,2,FALSE),"")</f>
        <v/>
      </c>
      <c r="S65" s="375" t="s">
        <v>271</v>
      </c>
      <c r="T65" s="375" t="s">
        <v>1538</v>
      </c>
      <c r="U65" s="375" t="s">
        <v>55</v>
      </c>
      <c r="V65" s="691"/>
      <c r="W65" s="691"/>
      <c r="X65" s="692"/>
      <c r="Y65" s="381"/>
      <c r="Z65" s="381"/>
      <c r="AA65" s="392"/>
      <c r="AB65" s="661">
        <v>20000000</v>
      </c>
      <c r="AC65" s="657">
        <f>_xlfn.LET(
  _xlpm.s, IFERROR(--_xlfn.TEXTBEFORE(K65,"/"), K65),
  _xlfn.XLOOKUP(_xlpm.s, 'RAD data'!$J$4:$J$8, 'RAD data'!$K$4:$K$8, "")
)</f>
        <v>0.8</v>
      </c>
      <c r="AD65" s="661">
        <f t="shared" si="6"/>
        <v>16000000</v>
      </c>
      <c r="AE65" s="661">
        <v>20000000</v>
      </c>
      <c r="AF65" s="657">
        <f>_xlfn.LET(
  _xlpm.s, IFERROR(--_xlfn.TEXTBEFORE(Q65,"/"), Q65),
  _xlfn.XLOOKUP(_xlpm.s, 'RAD data'!$J$4:$J$8, 'RAD data'!$K$4:$K$8, "")
)</f>
        <v>0.6</v>
      </c>
      <c r="AG65" s="661">
        <f t="shared" si="7"/>
        <v>12000000</v>
      </c>
      <c r="AH65" s="661">
        <f t="shared" si="8"/>
        <v>4000000</v>
      </c>
      <c r="AI65" s="662">
        <f t="shared" si="9"/>
        <v>0.25</v>
      </c>
    </row>
    <row r="66" spans="1:35" ht="158.1" customHeight="1">
      <c r="A66" s="378"/>
      <c r="B66" s="328" t="str">
        <f t="shared" si="0"/>
        <v>Closed - PR_0059</v>
      </c>
      <c r="C66" s="328" t="s">
        <v>63</v>
      </c>
      <c r="D66" s="374" t="s">
        <v>1662</v>
      </c>
      <c r="E66" s="374" t="s">
        <v>1673</v>
      </c>
      <c r="F66" s="374"/>
      <c r="G66" s="373" t="s">
        <v>1611</v>
      </c>
      <c r="H66" s="374" t="s">
        <v>26</v>
      </c>
      <c r="I66" s="374" t="s">
        <v>51</v>
      </c>
      <c r="J66" s="376"/>
      <c r="K66" s="376"/>
      <c r="L66" s="375" t="str">
        <f>IFERROR(VLOOKUP(CONCATENATE(J66,K66),'Risk matrix1'!$A$2:$C$26,2,FALSE),"")</f>
        <v/>
      </c>
      <c r="M66" s="375"/>
      <c r="N66" s="699" t="s">
        <v>1612</v>
      </c>
      <c r="O66" s="374" t="s">
        <v>48</v>
      </c>
      <c r="P66" s="375"/>
      <c r="Q66" s="375"/>
      <c r="R66" s="375" t="str">
        <f>IFERROR(VLOOKUP(CONCATENATE(P67,Q67),'Risk matrix1'!$A$2:$C$26,2,FALSE),"")</f>
        <v>Minor</v>
      </c>
      <c r="S66" s="375"/>
      <c r="T66" s="375"/>
      <c r="U66" s="375" t="s">
        <v>38</v>
      </c>
      <c r="V66" s="694"/>
      <c r="W66" s="694"/>
      <c r="X66" s="694"/>
      <c r="Y66" s="377">
        <v>45677</v>
      </c>
      <c r="Z66" s="373" t="s">
        <v>52</v>
      </c>
      <c r="AA66" s="392"/>
      <c r="AB66" s="373"/>
      <c r="AC66" s="378" t="str">
        <f>_xlfn.LET(
  _xlpm.s, IFERROR(--_xlfn.TEXTBEFORE(K66,"/"), K66),
  _xlfn.XLOOKUP(_xlpm.s, 'RAD data'!$J$4:$J$8, 'RAD data'!$K$4:$K$8, "")
)</f>
        <v/>
      </c>
      <c r="AD66" s="695" t="str">
        <f t="shared" si="6"/>
        <v/>
      </c>
      <c r="AE66" s="373"/>
      <c r="AF66" s="378" t="str">
        <f>_xlfn.LET(
  _xlpm.s, IFERROR(--_xlfn.TEXTBEFORE(Q66,"/"), Q66),
  _xlfn.XLOOKUP(_xlpm.s, 'RAD data'!$J$4:$J$8, 'RAD data'!$K$4:$K$8, "")
)</f>
        <v/>
      </c>
      <c r="AG66" s="695" t="str">
        <f t="shared" si="7"/>
        <v/>
      </c>
      <c r="AH66" s="695" t="str">
        <f t="shared" si="8"/>
        <v/>
      </c>
      <c r="AI66" s="696" t="str">
        <f t="shared" si="9"/>
        <v/>
      </c>
    </row>
    <row r="67" spans="1:35" ht="82.8">
      <c r="A67" s="657"/>
      <c r="B67" s="384" t="str">
        <f t="shared" si="0"/>
        <v>PR_0060</v>
      </c>
      <c r="C67" s="384" t="s">
        <v>23</v>
      </c>
      <c r="D67" s="375" t="s">
        <v>1658</v>
      </c>
      <c r="E67" s="375" t="s">
        <v>1679</v>
      </c>
      <c r="F67" s="658">
        <v>45505</v>
      </c>
      <c r="G67" s="660" t="s">
        <v>1613</v>
      </c>
      <c r="H67" s="375" t="s">
        <v>26</v>
      </c>
      <c r="I67" s="375" t="s">
        <v>47</v>
      </c>
      <c r="J67" s="385" t="s">
        <v>1614</v>
      </c>
      <c r="K67" s="385" t="s">
        <v>1607</v>
      </c>
      <c r="L67" s="375" t="str">
        <f>IFERROR(VLOOKUP(CONCATENATE(J67,K67),'Risk matrix1'!$A$2:$C$26,2,FALSE),"")</f>
        <v>Severe</v>
      </c>
      <c r="M67" s="375" t="s">
        <v>1522</v>
      </c>
      <c r="N67" s="359" t="s">
        <v>1615</v>
      </c>
      <c r="O67" s="375" t="s">
        <v>158</v>
      </c>
      <c r="P67" s="375">
        <v>3</v>
      </c>
      <c r="Q67" s="375">
        <v>1</v>
      </c>
      <c r="R67" s="375" t="str">
        <f>IFERROR(VLOOKUP(CONCATENATE(P68,Q68),'Risk matrix1'!$A$2:$C$26,2,FALSE),"")</f>
        <v/>
      </c>
      <c r="S67" s="375" t="s">
        <v>254</v>
      </c>
      <c r="T67" s="375" t="s">
        <v>1519</v>
      </c>
      <c r="U67" s="375" t="s">
        <v>30</v>
      </c>
      <c r="V67" s="691"/>
      <c r="W67" s="691"/>
      <c r="X67" s="692"/>
      <c r="Y67" s="381"/>
      <c r="Z67" s="381"/>
      <c r="AA67" s="392"/>
      <c r="AB67" s="661">
        <v>15000000</v>
      </c>
      <c r="AC67" s="657" t="str">
        <f>_xlfn.LET(
  _xlpm.s, IFERROR(--_xlfn.TEXTBEFORE(K67,"/"), K67),
  _xlfn.XLOOKUP(_xlpm.s, 'RAD data'!$J$4:$J$8, 'RAD data'!$K$4:$K$8, "")
)</f>
        <v/>
      </c>
      <c r="AD67" s="661" t="str">
        <f t="shared" si="6"/>
        <v/>
      </c>
      <c r="AE67" s="661">
        <v>5000000</v>
      </c>
      <c r="AF67" s="657">
        <f>_xlfn.LET(
  _xlpm.s, IFERROR(--_xlfn.TEXTBEFORE(Q67,"/"), Q67),
  _xlfn.XLOOKUP(_xlpm.s, 'RAD data'!$J$4:$J$8, 'RAD data'!$K$4:$K$8, "")
)</f>
        <v>0.2</v>
      </c>
      <c r="AG67" s="661">
        <f t="shared" si="7"/>
        <v>1000000</v>
      </c>
      <c r="AH67" s="661" t="str">
        <f t="shared" si="8"/>
        <v/>
      </c>
      <c r="AI67" s="662" t="str">
        <f t="shared" si="9"/>
        <v/>
      </c>
    </row>
    <row r="68" spans="1:35" ht="113.1" customHeight="1">
      <c r="A68" s="378"/>
      <c r="B68" s="328" t="str">
        <f t="shared" si="0"/>
        <v>Closed - PR_0061</v>
      </c>
      <c r="C68" s="328" t="s">
        <v>63</v>
      </c>
      <c r="D68" s="374" t="s">
        <v>1650</v>
      </c>
      <c r="E68" s="374" t="s">
        <v>1685</v>
      </c>
      <c r="F68" s="374"/>
      <c r="G68" s="373" t="s">
        <v>1616</v>
      </c>
      <c r="H68" s="374" t="s">
        <v>26</v>
      </c>
      <c r="I68" s="374" t="s">
        <v>58</v>
      </c>
      <c r="J68" s="376"/>
      <c r="K68" s="376"/>
      <c r="L68" s="375" t="str">
        <f>IFERROR(VLOOKUP(CONCATENATE(J68,K68),'Risk matrix1'!$A$2:$C$26,2,FALSE),"")</f>
        <v/>
      </c>
      <c r="M68" s="375"/>
      <c r="N68" s="359" t="s">
        <v>1617</v>
      </c>
      <c r="O68" s="374" t="s">
        <v>48</v>
      </c>
      <c r="P68" s="375"/>
      <c r="Q68" s="375"/>
      <c r="R68" s="375" t="str">
        <f>IFERROR(VLOOKUP(CONCATENATE(P69,Q69),'Risk matrix1'!$A$2:$C$26,2,FALSE),"")</f>
        <v/>
      </c>
      <c r="S68" s="375"/>
      <c r="T68" s="375"/>
      <c r="U68" s="375" t="s">
        <v>38</v>
      </c>
      <c r="V68" s="694"/>
      <c r="W68" s="694"/>
      <c r="X68" s="694"/>
      <c r="Y68" s="377">
        <v>45677</v>
      </c>
      <c r="Z68" s="373" t="s">
        <v>52</v>
      </c>
      <c r="AA68" s="392"/>
      <c r="AB68" s="373"/>
      <c r="AC68" s="378" t="str">
        <f>_xlfn.LET(
  _xlpm.s, IFERROR(--_xlfn.TEXTBEFORE(K68,"/"), K68),
  _xlfn.XLOOKUP(_xlpm.s, 'RAD data'!$J$4:$J$8, 'RAD data'!$K$4:$K$8, "")
)</f>
        <v/>
      </c>
      <c r="AD68" s="695" t="str">
        <f t="shared" si="6"/>
        <v/>
      </c>
      <c r="AE68" s="373"/>
      <c r="AF68" s="378" t="str">
        <f>_xlfn.LET(
  _xlpm.s, IFERROR(--_xlfn.TEXTBEFORE(Q68,"/"), Q68),
  _xlfn.XLOOKUP(_xlpm.s, 'RAD data'!$J$4:$J$8, 'RAD data'!$K$4:$K$8, "")
)</f>
        <v/>
      </c>
      <c r="AG68" s="695" t="str">
        <f t="shared" si="7"/>
        <v/>
      </c>
      <c r="AH68" s="695" t="str">
        <f t="shared" si="8"/>
        <v/>
      </c>
      <c r="AI68" s="696" t="str">
        <f t="shared" si="9"/>
        <v/>
      </c>
    </row>
    <row r="69" spans="1:35" ht="146.85" customHeight="1">
      <c r="A69" s="378"/>
      <c r="B69" s="328" t="str">
        <f t="shared" si="0"/>
        <v>Closed - PR_0062</v>
      </c>
      <c r="C69" s="328" t="s">
        <v>63</v>
      </c>
      <c r="D69" s="374" t="s">
        <v>1650</v>
      </c>
      <c r="E69" s="374" t="s">
        <v>1685</v>
      </c>
      <c r="F69" s="374"/>
      <c r="G69" s="373" t="s">
        <v>1618</v>
      </c>
      <c r="H69" s="374" t="s">
        <v>26</v>
      </c>
      <c r="I69" s="374" t="s">
        <v>58</v>
      </c>
      <c r="J69" s="376"/>
      <c r="K69" s="376"/>
      <c r="L69" s="375" t="str">
        <f>IFERROR(VLOOKUP(CONCATENATE(J69,K69),'Risk matrix1'!$A$2:$C$26,2,FALSE),"")</f>
        <v/>
      </c>
      <c r="M69" s="375"/>
      <c r="N69" s="359" t="s">
        <v>1619</v>
      </c>
      <c r="O69" s="374" t="s">
        <v>48</v>
      </c>
      <c r="P69" s="375"/>
      <c r="Q69" s="375"/>
      <c r="R69" s="375" t="str">
        <f>IFERROR(VLOOKUP(CONCATENATE(P70,Q70),'Risk matrix1'!$A$2:$C$26,2,FALSE),"")</f>
        <v>Insignificant</v>
      </c>
      <c r="S69" s="375"/>
      <c r="T69" s="375"/>
      <c r="U69" s="375" t="s">
        <v>38</v>
      </c>
      <c r="V69" s="694"/>
      <c r="W69" s="694"/>
      <c r="X69" s="694"/>
      <c r="Y69" s="377">
        <v>45677</v>
      </c>
      <c r="Z69" s="373" t="s">
        <v>52</v>
      </c>
      <c r="AA69" s="392"/>
      <c r="AB69" s="373"/>
      <c r="AC69" s="378" t="str">
        <f>_xlfn.LET(
  _xlpm.s, IFERROR(--_xlfn.TEXTBEFORE(K69,"/"), K69),
  _xlfn.XLOOKUP(_xlpm.s, 'RAD data'!$J$4:$J$8, 'RAD data'!$K$4:$K$8, "")
)</f>
        <v/>
      </c>
      <c r="AD69" s="695" t="str">
        <f t="shared" si="6"/>
        <v/>
      </c>
      <c r="AE69" s="373"/>
      <c r="AF69" s="378" t="str">
        <f>_xlfn.LET(
  _xlpm.s, IFERROR(--_xlfn.TEXTBEFORE(Q69,"/"), Q69),
  _xlfn.XLOOKUP(_xlpm.s, 'RAD data'!$J$4:$J$8, 'RAD data'!$K$4:$K$8, "")
)</f>
        <v/>
      </c>
      <c r="AG69" s="695" t="str">
        <f t="shared" si="7"/>
        <v/>
      </c>
      <c r="AH69" s="695" t="str">
        <f t="shared" si="8"/>
        <v/>
      </c>
      <c r="AI69" s="696" t="str">
        <f t="shared" si="9"/>
        <v/>
      </c>
    </row>
    <row r="70" spans="1:35" ht="94.35" customHeight="1">
      <c r="A70" s="657"/>
      <c r="B70" s="384" t="str">
        <f t="shared" si="0"/>
        <v>PR_0063</v>
      </c>
      <c r="C70" s="384" t="s">
        <v>23</v>
      </c>
      <c r="D70" s="375" t="s">
        <v>1658</v>
      </c>
      <c r="E70" s="375" t="s">
        <v>1679</v>
      </c>
      <c r="F70" s="658">
        <v>45505</v>
      </c>
      <c r="G70" s="381" t="s">
        <v>1620</v>
      </c>
      <c r="H70" s="375" t="s">
        <v>26</v>
      </c>
      <c r="I70" s="375" t="s">
        <v>35</v>
      </c>
      <c r="J70" s="385">
        <v>5</v>
      </c>
      <c r="K70" s="385" t="s">
        <v>1621</v>
      </c>
      <c r="L70" s="375" t="str">
        <f>IFERROR(VLOOKUP(CONCATENATE(J70,K70),'Risk matrix1'!$A$2:$C$26,2,FALSE),"")</f>
        <v>Severe</v>
      </c>
      <c r="M70" s="375" t="s">
        <v>1522</v>
      </c>
      <c r="N70" s="359" t="s">
        <v>1622</v>
      </c>
      <c r="O70" s="375" t="s">
        <v>158</v>
      </c>
      <c r="P70" s="375">
        <v>2</v>
      </c>
      <c r="Q70" s="375">
        <v>1</v>
      </c>
      <c r="R70" s="375" t="str">
        <f>IFERROR(VLOOKUP(CONCATENATE(P71,Q71),'Risk matrix1'!$A$2:$C$26,2,FALSE),"")</f>
        <v>Major</v>
      </c>
      <c r="S70" s="375" t="s">
        <v>255</v>
      </c>
      <c r="T70" s="375" t="s">
        <v>1519</v>
      </c>
      <c r="U70" s="375" t="s">
        <v>30</v>
      </c>
      <c r="V70" s="691"/>
      <c r="W70" s="691"/>
      <c r="X70" s="692"/>
      <c r="Y70" s="381"/>
      <c r="Z70" s="381"/>
      <c r="AA70" s="392"/>
      <c r="AB70" s="661">
        <v>100000000</v>
      </c>
      <c r="AC70" s="657" t="str">
        <f>_xlfn.LET(
  _xlpm.s, IFERROR(--_xlfn.TEXTBEFORE(K70,"/"), K70),
  _xlfn.XLOOKUP(_xlpm.s, 'RAD data'!$J$4:$J$8, 'RAD data'!$K$4:$K$8, "")
)</f>
        <v/>
      </c>
      <c r="AD70" s="661" t="str">
        <f t="shared" si="6"/>
        <v/>
      </c>
      <c r="AE70" s="661">
        <v>40000000</v>
      </c>
      <c r="AF70" s="657">
        <f>_xlfn.LET(
  _xlpm.s, IFERROR(--_xlfn.TEXTBEFORE(Q70,"/"), Q70),
  _xlfn.XLOOKUP(_xlpm.s, 'RAD data'!$J$4:$J$8, 'RAD data'!$K$4:$K$8, "")
)</f>
        <v>0.2</v>
      </c>
      <c r="AG70" s="661">
        <f t="shared" si="7"/>
        <v>8000000</v>
      </c>
      <c r="AH70" s="661" t="str">
        <f t="shared" si="8"/>
        <v/>
      </c>
      <c r="AI70" s="662" t="str">
        <f t="shared" si="9"/>
        <v/>
      </c>
    </row>
    <row r="71" spans="1:35" ht="138">
      <c r="A71" s="657"/>
      <c r="B71" s="384" t="str">
        <f t="shared" si="0"/>
        <v>PR_0064</v>
      </c>
      <c r="C71" s="384" t="s">
        <v>63</v>
      </c>
      <c r="D71" s="375" t="s">
        <v>1650</v>
      </c>
      <c r="E71" s="375" t="s">
        <v>1685</v>
      </c>
      <c r="F71" s="658">
        <v>45505</v>
      </c>
      <c r="G71" s="381" t="s">
        <v>1623</v>
      </c>
      <c r="H71" s="375" t="s">
        <v>26</v>
      </c>
      <c r="I71" s="375" t="s">
        <v>58</v>
      </c>
      <c r="J71" s="385">
        <v>5</v>
      </c>
      <c r="K71" s="385" t="s">
        <v>1607</v>
      </c>
      <c r="L71" s="375" t="str">
        <f>IFERROR(VLOOKUP(CONCATENATE(J71,K71),'Risk matrix1'!$A$2:$C$26,2,FALSE),"")</f>
        <v>Severe</v>
      </c>
      <c r="M71" s="375" t="s">
        <v>1522</v>
      </c>
      <c r="N71" s="359" t="s">
        <v>1440</v>
      </c>
      <c r="O71" s="375" t="s">
        <v>41</v>
      </c>
      <c r="P71" s="375">
        <v>3</v>
      </c>
      <c r="Q71" s="375">
        <v>3</v>
      </c>
      <c r="R71" s="375" t="str">
        <f>IFERROR(VLOOKUP(CONCATENATE(P72,Q72),'Risk matrix1'!$A$2:$C$26,2,FALSE),"")</f>
        <v>Major</v>
      </c>
      <c r="S71" s="375" t="s">
        <v>254</v>
      </c>
      <c r="T71" s="375" t="s">
        <v>1538</v>
      </c>
      <c r="U71" s="375" t="s">
        <v>42</v>
      </c>
      <c r="V71" s="691"/>
      <c r="W71" s="691"/>
      <c r="X71" s="692"/>
      <c r="Y71" s="381"/>
      <c r="Z71" s="381"/>
      <c r="AA71" s="392"/>
      <c r="AB71" s="661">
        <v>5</v>
      </c>
      <c r="AC71" s="657" t="str">
        <f>_xlfn.LET(
  _xlpm.s, IFERROR(--_xlfn.TEXTBEFORE(K71,"/"), K71),
  _xlfn.XLOOKUP(_xlpm.s, 'RAD data'!$J$4:$J$8, 'RAD data'!$K$4:$K$8, "")
)</f>
        <v/>
      </c>
      <c r="AD71" s="661" t="str">
        <f t="shared" si="6"/>
        <v/>
      </c>
      <c r="AE71" s="661">
        <v>3</v>
      </c>
      <c r="AF71" s="657">
        <f>_xlfn.LET(
  _xlpm.s, IFERROR(--_xlfn.TEXTBEFORE(Q71,"/"), Q71),
  _xlfn.XLOOKUP(_xlpm.s, 'RAD data'!$J$4:$J$8, 'RAD data'!$K$4:$K$8, "")
)</f>
        <v>0.6</v>
      </c>
      <c r="AG71" s="661">
        <f t="shared" si="7"/>
        <v>1.7999999999999998</v>
      </c>
      <c r="AH71" s="661" t="str">
        <f t="shared" si="8"/>
        <v/>
      </c>
      <c r="AI71" s="662" t="str">
        <f t="shared" si="9"/>
        <v/>
      </c>
    </row>
    <row r="72" spans="1:35" ht="93.75" customHeight="1">
      <c r="A72" s="657"/>
      <c r="B72" s="384" t="str">
        <f t="shared" ref="B72:B90" si="10">IF(U72="Closed","Closed - " &amp; IF(G72&lt;&gt;"","PR_" &amp; TEXT(ROW(G72)-7,"0000"),""), IF(G72&lt;&gt;"","PR_" &amp; TEXT(ROW(G72)-7,"0000"),""))</f>
        <v>PR_0065</v>
      </c>
      <c r="C72" s="384" t="s">
        <v>63</v>
      </c>
      <c r="D72" s="375" t="s">
        <v>1650</v>
      </c>
      <c r="E72" s="375" t="s">
        <v>1685</v>
      </c>
      <c r="F72" s="658">
        <v>45505</v>
      </c>
      <c r="G72" s="381" t="s">
        <v>1624</v>
      </c>
      <c r="H72" s="375" t="s">
        <v>26</v>
      </c>
      <c r="I72" s="375" t="s">
        <v>58</v>
      </c>
      <c r="J72" s="385" t="s">
        <v>1606</v>
      </c>
      <c r="K72" s="385" t="s">
        <v>1607</v>
      </c>
      <c r="L72" s="375" t="str">
        <f>IFERROR(VLOOKUP(CONCATENATE(J72,K72),'Risk matrix1'!$A$2:$C$26,2,FALSE),"")</f>
        <v>Major</v>
      </c>
      <c r="M72" s="375" t="s">
        <v>1522</v>
      </c>
      <c r="N72" s="359" t="s">
        <v>1625</v>
      </c>
      <c r="O72" s="375" t="s">
        <v>41</v>
      </c>
      <c r="P72" s="375">
        <v>3</v>
      </c>
      <c r="Q72" s="375">
        <v>3</v>
      </c>
      <c r="R72" s="375" t="str">
        <f>IFERROR(VLOOKUP(CONCATENATE(P73,Q73),'Risk matrix1'!$A$2:$C$26,2,FALSE),"")</f>
        <v>Minor</v>
      </c>
      <c r="S72" s="375" t="s">
        <v>254</v>
      </c>
      <c r="T72" s="375" t="s">
        <v>1538</v>
      </c>
      <c r="U72" s="375" t="s">
        <v>42</v>
      </c>
      <c r="V72" s="691"/>
      <c r="W72" s="691"/>
      <c r="X72" s="692"/>
      <c r="Y72" s="381"/>
      <c r="Z72" s="381"/>
      <c r="AA72" s="392"/>
      <c r="AB72" s="661">
        <v>10000000</v>
      </c>
      <c r="AC72" s="657" t="str">
        <f>_xlfn.LET(
  _xlpm.s, IFERROR(--_xlfn.TEXTBEFORE(K72,"/"), K72),
  _xlfn.XLOOKUP(_xlpm.s, 'RAD data'!$J$4:$J$8, 'RAD data'!$K$4:$K$8, "")
)</f>
        <v/>
      </c>
      <c r="AD72" s="661" t="str">
        <f t="shared" ref="AD72:AD103" si="11">IFERROR(SUM(AB72*AC72),"")</f>
        <v/>
      </c>
      <c r="AE72" s="661">
        <v>5000000</v>
      </c>
      <c r="AF72" s="657">
        <f>_xlfn.LET(
  _xlpm.s, IFERROR(--_xlfn.TEXTBEFORE(Q72,"/"), Q72),
  _xlfn.XLOOKUP(_xlpm.s, 'RAD data'!$J$4:$J$8, 'RAD data'!$K$4:$K$8, "")
)</f>
        <v>0.6</v>
      </c>
      <c r="AG72" s="661">
        <f t="shared" ref="AG72:AG103" si="12">IFERROR(SUM(AE72*AF72),"")</f>
        <v>3000000</v>
      </c>
      <c r="AH72" s="661" t="str">
        <f t="shared" ref="AH72:AH103" si="13">IFERROR(SUM(AD72-AG72),"")</f>
        <v/>
      </c>
      <c r="AI72" s="662" t="str">
        <f t="shared" ref="AI72:AI103" si="14">IFERROR(SUM(AH72/AD72),"")</f>
        <v/>
      </c>
    </row>
    <row r="73" spans="1:35" ht="76.349999999999994" customHeight="1">
      <c r="A73" s="657"/>
      <c r="B73" s="384" t="str">
        <f t="shared" si="10"/>
        <v>PR_0066</v>
      </c>
      <c r="C73" s="384" t="s">
        <v>63</v>
      </c>
      <c r="D73" s="375" t="s">
        <v>1660</v>
      </c>
      <c r="E73" s="375" t="s">
        <v>1682</v>
      </c>
      <c r="F73" s="658">
        <v>45505</v>
      </c>
      <c r="G73" s="381" t="s">
        <v>1626</v>
      </c>
      <c r="H73" s="375" t="s">
        <v>26</v>
      </c>
      <c r="I73" s="375" t="s">
        <v>47</v>
      </c>
      <c r="J73" s="385" t="s">
        <v>1606</v>
      </c>
      <c r="K73" s="385" t="s">
        <v>1607</v>
      </c>
      <c r="L73" s="375" t="str">
        <f>IFERROR(VLOOKUP(CONCATENATE(J73,K73),'Risk matrix1'!$A$2:$C$26,2,FALSE),"")</f>
        <v>Major</v>
      </c>
      <c r="M73" s="375" t="s">
        <v>1522</v>
      </c>
      <c r="N73" s="354" t="s">
        <v>1627</v>
      </c>
      <c r="O73" s="375" t="s">
        <v>2343</v>
      </c>
      <c r="P73" s="375">
        <v>3</v>
      </c>
      <c r="Q73" s="375">
        <v>1</v>
      </c>
      <c r="R73" s="375" t="str">
        <f>IFERROR(VLOOKUP(CONCATENATE(P74,Q74),'Risk matrix1'!$A$2:$C$26,2,FALSE),"")</f>
        <v>Moderate</v>
      </c>
      <c r="S73" s="375" t="s">
        <v>254</v>
      </c>
      <c r="T73" s="375" t="s">
        <v>1519</v>
      </c>
      <c r="U73" s="375" t="s">
        <v>42</v>
      </c>
      <c r="V73" s="691"/>
      <c r="W73" s="691"/>
      <c r="X73" s="692"/>
      <c r="Y73" s="381"/>
      <c r="Z73" s="381"/>
      <c r="AA73" s="392"/>
      <c r="AB73" s="661">
        <v>100000000</v>
      </c>
      <c r="AC73" s="657" t="str">
        <f>_xlfn.LET(
  _xlpm.s, IFERROR(--_xlfn.TEXTBEFORE(K73,"/"), K73),
  _xlfn.XLOOKUP(_xlpm.s, 'RAD data'!$J$4:$J$8, 'RAD data'!$K$4:$K$8, "")
)</f>
        <v/>
      </c>
      <c r="AD73" s="661" t="str">
        <f t="shared" si="11"/>
        <v/>
      </c>
      <c r="AE73" s="661">
        <v>80000000</v>
      </c>
      <c r="AF73" s="657">
        <f>_xlfn.LET(
  _xlpm.s, IFERROR(--_xlfn.TEXTBEFORE(Q73,"/"), Q73),
  _xlfn.XLOOKUP(_xlpm.s, 'RAD data'!$J$4:$J$8, 'RAD data'!$K$4:$K$8, "")
)</f>
        <v>0.2</v>
      </c>
      <c r="AG73" s="661">
        <f t="shared" si="12"/>
        <v>16000000</v>
      </c>
      <c r="AH73" s="661" t="str">
        <f t="shared" si="13"/>
        <v/>
      </c>
      <c r="AI73" s="662" t="str">
        <f t="shared" si="14"/>
        <v/>
      </c>
    </row>
    <row r="74" spans="1:35" ht="87" customHeight="1">
      <c r="A74" s="657"/>
      <c r="B74" s="384" t="str">
        <f t="shared" si="10"/>
        <v>PR_0067</v>
      </c>
      <c r="C74" s="384" t="s">
        <v>63</v>
      </c>
      <c r="D74" s="375" t="s">
        <v>1650</v>
      </c>
      <c r="E74" s="375" t="s">
        <v>1685</v>
      </c>
      <c r="F74" s="658">
        <v>45505</v>
      </c>
      <c r="G74" s="381" t="s">
        <v>1628</v>
      </c>
      <c r="H74" s="375" t="s">
        <v>26</v>
      </c>
      <c r="I74" s="375" t="s">
        <v>58</v>
      </c>
      <c r="J74" s="385" t="s">
        <v>1606</v>
      </c>
      <c r="K74" s="385" t="s">
        <v>1607</v>
      </c>
      <c r="L74" s="375" t="str">
        <f>IFERROR(VLOOKUP(CONCATENATE(J74,K74),'Risk matrix1'!$A$2:$C$26,2,FALSE),"")</f>
        <v>Major</v>
      </c>
      <c r="M74" s="375" t="s">
        <v>1522</v>
      </c>
      <c r="N74" s="359" t="s">
        <v>1629</v>
      </c>
      <c r="O74" s="375" t="s">
        <v>41</v>
      </c>
      <c r="P74" s="375">
        <v>3</v>
      </c>
      <c r="Q74" s="375">
        <v>2</v>
      </c>
      <c r="R74" s="375" t="str">
        <f>IFERROR(VLOOKUP(CONCATENATE(P75,Q75),'Risk matrix1'!$A$2:$C$26,2,FALSE),"")</f>
        <v/>
      </c>
      <c r="S74" s="375" t="s">
        <v>254</v>
      </c>
      <c r="T74" s="375" t="s">
        <v>1538</v>
      </c>
      <c r="U74" s="375" t="s">
        <v>42</v>
      </c>
      <c r="V74" s="691"/>
      <c r="W74" s="691"/>
      <c r="X74" s="692"/>
      <c r="Y74" s="381"/>
      <c r="Z74" s="381"/>
      <c r="AA74" s="392"/>
      <c r="AB74" s="661">
        <v>10000000</v>
      </c>
      <c r="AC74" s="657" t="str">
        <f>_xlfn.LET(
  _xlpm.s, IFERROR(--_xlfn.TEXTBEFORE(K74,"/"), K74),
  _xlfn.XLOOKUP(_xlpm.s, 'RAD data'!$J$4:$J$8, 'RAD data'!$K$4:$K$8, "")
)</f>
        <v/>
      </c>
      <c r="AD74" s="661" t="str">
        <f t="shared" si="11"/>
        <v/>
      </c>
      <c r="AE74" s="661">
        <v>5000000</v>
      </c>
      <c r="AF74" s="657">
        <f>_xlfn.LET(
  _xlpm.s, IFERROR(--_xlfn.TEXTBEFORE(Q74,"/"), Q74),
  _xlfn.XLOOKUP(_xlpm.s, 'RAD data'!$J$4:$J$8, 'RAD data'!$K$4:$K$8, "")
)</f>
        <v>0.4</v>
      </c>
      <c r="AG74" s="661">
        <f t="shared" si="12"/>
        <v>2000000</v>
      </c>
      <c r="AH74" s="661" t="str">
        <f t="shared" si="13"/>
        <v/>
      </c>
      <c r="AI74" s="662" t="str">
        <f t="shared" si="14"/>
        <v/>
      </c>
    </row>
    <row r="75" spans="1:35" ht="174.75" customHeight="1">
      <c r="A75" s="378"/>
      <c r="B75" s="328" t="str">
        <f t="shared" si="10"/>
        <v>Closed - PR_0068</v>
      </c>
      <c r="C75" s="328" t="s">
        <v>23</v>
      </c>
      <c r="D75" s="374" t="s">
        <v>1660</v>
      </c>
      <c r="E75" s="374" t="s">
        <v>1682</v>
      </c>
      <c r="F75" s="374"/>
      <c r="G75" s="373" t="s">
        <v>1442</v>
      </c>
      <c r="H75" s="374" t="s">
        <v>34</v>
      </c>
      <c r="I75" s="374" t="s">
        <v>58</v>
      </c>
      <c r="J75" s="376"/>
      <c r="K75" s="376"/>
      <c r="L75" s="375" t="str">
        <f>IFERROR(VLOOKUP(CONCATENATE(J75,K75),'Risk matrix1'!$A$2:$C$26,2,FALSE),"")</f>
        <v/>
      </c>
      <c r="M75" s="375"/>
      <c r="N75" s="354" t="s">
        <v>1443</v>
      </c>
      <c r="O75" s="374" t="s">
        <v>41</v>
      </c>
      <c r="P75" s="375"/>
      <c r="Q75" s="375"/>
      <c r="R75" s="375" t="str">
        <f>IFERROR(VLOOKUP(CONCATENATE(P76,Q76),'Risk matrix1'!$A$2:$C$26,2,FALSE),"")</f>
        <v/>
      </c>
      <c r="S75" s="375"/>
      <c r="T75" s="375"/>
      <c r="U75" s="374" t="s">
        <v>38</v>
      </c>
      <c r="V75" s="694"/>
      <c r="W75" s="694"/>
      <c r="X75" s="694"/>
      <c r="Y75" s="377">
        <v>45896</v>
      </c>
      <c r="Z75" s="373" t="s">
        <v>1520</v>
      </c>
      <c r="AA75" s="392"/>
      <c r="AB75" s="382">
        <v>0</v>
      </c>
      <c r="AC75" s="378" t="str">
        <f>_xlfn.LET(
  _xlpm.s, IFERROR(--_xlfn.TEXTBEFORE(K75,"/"), K75),
  _xlfn.XLOOKUP(_xlpm.s, 'RAD data'!$J$4:$J$8, 'RAD data'!$K$4:$K$8, "")
)</f>
        <v/>
      </c>
      <c r="AD75" s="382" t="str">
        <f t="shared" si="11"/>
        <v/>
      </c>
      <c r="AE75" s="382">
        <v>0</v>
      </c>
      <c r="AF75" s="378" t="str">
        <f>_xlfn.LET(
  _xlpm.s, IFERROR(--_xlfn.TEXTBEFORE(Q75,"/"), Q75),
  _xlfn.XLOOKUP(_xlpm.s, 'RAD data'!$J$4:$J$8, 'RAD data'!$K$4:$K$8, "")
)</f>
        <v/>
      </c>
      <c r="AG75" s="382" t="str">
        <f t="shared" si="12"/>
        <v/>
      </c>
      <c r="AH75" s="382" t="str">
        <f t="shared" si="13"/>
        <v/>
      </c>
      <c r="AI75" s="383" t="str">
        <f t="shared" si="14"/>
        <v/>
      </c>
    </row>
    <row r="76" spans="1:35" ht="165.6">
      <c r="A76" s="378"/>
      <c r="B76" s="328" t="str">
        <f t="shared" si="10"/>
        <v>Closed - PR_0069</v>
      </c>
      <c r="C76" s="328" t="s">
        <v>23</v>
      </c>
      <c r="D76" s="374" t="s">
        <v>1340</v>
      </c>
      <c r="E76" s="374" t="s">
        <v>1691</v>
      </c>
      <c r="F76" s="374"/>
      <c r="G76" s="373" t="s">
        <v>1445</v>
      </c>
      <c r="H76" s="374" t="s">
        <v>34</v>
      </c>
      <c r="I76" s="374" t="s">
        <v>35</v>
      </c>
      <c r="J76" s="376"/>
      <c r="K76" s="376"/>
      <c r="L76" s="375" t="str">
        <f>IFERROR(VLOOKUP(CONCATENATE(J76,K76),'Risk matrix1'!$A$2:$C$26,2,FALSE),"")</f>
        <v/>
      </c>
      <c r="M76" s="375"/>
      <c r="N76" s="354" t="s">
        <v>1446</v>
      </c>
      <c r="O76" s="374" t="s">
        <v>48</v>
      </c>
      <c r="P76" s="375"/>
      <c r="Q76" s="375"/>
      <c r="R76" s="375" t="str">
        <f>IFERROR(VLOOKUP(CONCATENATE(P77,Q77),'Risk matrix1'!$A$2:$C$26,2,FALSE),"")</f>
        <v/>
      </c>
      <c r="S76" s="375"/>
      <c r="T76" s="375"/>
      <c r="U76" s="374" t="s">
        <v>38</v>
      </c>
      <c r="V76" s="694"/>
      <c r="W76" s="694"/>
      <c r="X76" s="694"/>
      <c r="Y76" s="377">
        <v>45896</v>
      </c>
      <c r="Z76" s="373" t="s">
        <v>1520</v>
      </c>
      <c r="AA76" s="392"/>
      <c r="AB76" s="382">
        <v>0</v>
      </c>
      <c r="AC76" s="378" t="str">
        <f>_xlfn.LET(
  _xlpm.s, IFERROR(--_xlfn.TEXTBEFORE(K76,"/"), K76),
  _xlfn.XLOOKUP(_xlpm.s, 'RAD data'!$J$4:$J$8, 'RAD data'!$K$4:$K$8, "")
)</f>
        <v/>
      </c>
      <c r="AD76" s="382" t="str">
        <f t="shared" si="11"/>
        <v/>
      </c>
      <c r="AE76" s="382">
        <v>0</v>
      </c>
      <c r="AF76" s="378" t="str">
        <f>_xlfn.LET(
  _xlpm.s, IFERROR(--_xlfn.TEXTBEFORE(Q76,"/"), Q76),
  _xlfn.XLOOKUP(_xlpm.s, 'RAD data'!$J$4:$J$8, 'RAD data'!$K$4:$K$8, "")
)</f>
        <v/>
      </c>
      <c r="AG76" s="382" t="str">
        <f t="shared" si="12"/>
        <v/>
      </c>
      <c r="AH76" s="382" t="str">
        <f t="shared" si="13"/>
        <v/>
      </c>
      <c r="AI76" s="383" t="str">
        <f t="shared" si="14"/>
        <v/>
      </c>
    </row>
    <row r="77" spans="1:35" ht="151.80000000000001">
      <c r="A77" s="378"/>
      <c r="B77" s="328" t="str">
        <f t="shared" si="10"/>
        <v>Closed - PR_0070</v>
      </c>
      <c r="C77" s="328" t="s">
        <v>23</v>
      </c>
      <c r="D77" s="374" t="s">
        <v>1656</v>
      </c>
      <c r="E77" s="374" t="s">
        <v>1676</v>
      </c>
      <c r="F77" s="374"/>
      <c r="G77" s="373" t="s">
        <v>1448</v>
      </c>
      <c r="H77" s="374" t="s">
        <v>26</v>
      </c>
      <c r="I77" s="374" t="s">
        <v>35</v>
      </c>
      <c r="J77" s="376"/>
      <c r="K77" s="376"/>
      <c r="L77" s="375" t="str">
        <f>IFERROR(VLOOKUP(CONCATENATE(J77,K77),'Risk matrix1'!$A$2:$C$26,2,FALSE),"")</f>
        <v/>
      </c>
      <c r="M77" s="375"/>
      <c r="N77" s="354" t="s">
        <v>1449</v>
      </c>
      <c r="O77" s="374" t="s">
        <v>43</v>
      </c>
      <c r="P77" s="375"/>
      <c r="Q77" s="375"/>
      <c r="R77" s="375" t="str">
        <f>IFERROR(VLOOKUP(CONCATENATE(P78,Q78),'Risk matrix1'!$A$2:$C$26,2,FALSE),"")</f>
        <v/>
      </c>
      <c r="S77" s="375"/>
      <c r="T77" s="375"/>
      <c r="U77" s="374" t="s">
        <v>38</v>
      </c>
      <c r="V77" s="694"/>
      <c r="W77" s="694"/>
      <c r="X77" s="694"/>
      <c r="Y77" s="377">
        <v>45896</v>
      </c>
      <c r="Z77" s="373" t="s">
        <v>1520</v>
      </c>
      <c r="AA77" s="392"/>
      <c r="AB77" s="382">
        <v>0</v>
      </c>
      <c r="AC77" s="378" t="str">
        <f>_xlfn.LET(
  _xlpm.s, IFERROR(--_xlfn.TEXTBEFORE(K77,"/"), K77),
  _xlfn.XLOOKUP(_xlpm.s, 'RAD data'!$J$4:$J$8, 'RAD data'!$K$4:$K$8, "")
)</f>
        <v/>
      </c>
      <c r="AD77" s="382" t="str">
        <f t="shared" si="11"/>
        <v/>
      </c>
      <c r="AE77" s="382">
        <v>0</v>
      </c>
      <c r="AF77" s="378" t="str">
        <f>_xlfn.LET(
  _xlpm.s, IFERROR(--_xlfn.TEXTBEFORE(Q77,"/"), Q77),
  _xlfn.XLOOKUP(_xlpm.s, 'RAD data'!$J$4:$J$8, 'RAD data'!$K$4:$K$8, "")
)</f>
        <v/>
      </c>
      <c r="AG77" s="382" t="str">
        <f t="shared" si="12"/>
        <v/>
      </c>
      <c r="AH77" s="382" t="str">
        <f t="shared" si="13"/>
        <v/>
      </c>
      <c r="AI77" s="383" t="str">
        <f t="shared" si="14"/>
        <v/>
      </c>
    </row>
    <row r="78" spans="1:35" ht="193.2">
      <c r="A78" s="378"/>
      <c r="B78" s="328" t="str">
        <f t="shared" si="10"/>
        <v>Closed - PR_0071</v>
      </c>
      <c r="C78" s="328" t="s">
        <v>23</v>
      </c>
      <c r="D78" s="374" t="s">
        <v>1656</v>
      </c>
      <c r="E78" s="374" t="s">
        <v>1676</v>
      </c>
      <c r="F78" s="374"/>
      <c r="G78" s="373" t="s">
        <v>1451</v>
      </c>
      <c r="H78" s="374" t="s">
        <v>26</v>
      </c>
      <c r="I78" s="374" t="s">
        <v>57</v>
      </c>
      <c r="J78" s="376"/>
      <c r="K78" s="376"/>
      <c r="L78" s="375" t="str">
        <f>IFERROR(VLOOKUP(CONCATENATE(J78,K78),'Risk matrix1'!$A$2:$C$26,2,FALSE),"")</f>
        <v/>
      </c>
      <c r="M78" s="375"/>
      <c r="N78" s="354" t="s">
        <v>1452</v>
      </c>
      <c r="O78" s="374" t="s">
        <v>41</v>
      </c>
      <c r="P78" s="375"/>
      <c r="Q78" s="375"/>
      <c r="R78" s="375" t="str">
        <f>IFERROR(VLOOKUP(CONCATENATE(P79,Q79),'Risk matrix1'!$A$2:$C$26,2,FALSE),"")</f>
        <v/>
      </c>
      <c r="S78" s="375"/>
      <c r="T78" s="375"/>
      <c r="U78" s="374" t="s">
        <v>38</v>
      </c>
      <c r="V78" s="694"/>
      <c r="W78" s="694"/>
      <c r="X78" s="694"/>
      <c r="Y78" s="377">
        <v>45896</v>
      </c>
      <c r="Z78" s="373" t="s">
        <v>1520</v>
      </c>
      <c r="AA78" s="392"/>
      <c r="AB78" s="382">
        <v>0</v>
      </c>
      <c r="AC78" s="378" t="str">
        <f>_xlfn.LET(
  _xlpm.s, IFERROR(--_xlfn.TEXTBEFORE(K78,"/"), K78),
  _xlfn.XLOOKUP(_xlpm.s, 'RAD data'!$J$4:$J$8, 'RAD data'!$K$4:$K$8, "")
)</f>
        <v/>
      </c>
      <c r="AD78" s="382" t="str">
        <f t="shared" si="11"/>
        <v/>
      </c>
      <c r="AE78" s="382">
        <v>0</v>
      </c>
      <c r="AF78" s="378" t="str">
        <f>_xlfn.LET(
  _xlpm.s, IFERROR(--_xlfn.TEXTBEFORE(Q78,"/"), Q78),
  _xlfn.XLOOKUP(_xlpm.s, 'RAD data'!$J$4:$J$8, 'RAD data'!$K$4:$K$8, "")
)</f>
        <v/>
      </c>
      <c r="AG78" s="382" t="str">
        <f t="shared" si="12"/>
        <v/>
      </c>
      <c r="AH78" s="382" t="str">
        <f t="shared" si="13"/>
        <v/>
      </c>
      <c r="AI78" s="383" t="str">
        <f t="shared" si="14"/>
        <v/>
      </c>
    </row>
    <row r="79" spans="1:35" ht="97.35" customHeight="1">
      <c r="A79" s="378"/>
      <c r="B79" s="328" t="str">
        <f t="shared" si="10"/>
        <v>Closed - PR_0072</v>
      </c>
      <c r="C79" s="328" t="s">
        <v>63</v>
      </c>
      <c r="D79" s="374" t="s">
        <v>1658</v>
      </c>
      <c r="E79" s="374" t="s">
        <v>1679</v>
      </c>
      <c r="F79" s="374"/>
      <c r="G79" s="373" t="s">
        <v>1454</v>
      </c>
      <c r="H79" s="374" t="s">
        <v>26</v>
      </c>
      <c r="I79" s="374" t="s">
        <v>47</v>
      </c>
      <c r="J79" s="376"/>
      <c r="K79" s="376"/>
      <c r="L79" s="375" t="str">
        <f>IFERROR(VLOOKUP(CONCATENATE(J79,K79),'Risk matrix1'!$A$2:$C$26,2,FALSE),"")</f>
        <v/>
      </c>
      <c r="M79" s="375"/>
      <c r="N79" s="354" t="s">
        <v>1455</v>
      </c>
      <c r="O79" s="374" t="s">
        <v>48</v>
      </c>
      <c r="P79" s="375"/>
      <c r="Q79" s="375"/>
      <c r="R79" s="375" t="str">
        <f>IFERROR(VLOOKUP(CONCATENATE(P80,Q80),'Risk matrix1'!$A$2:$C$26,2,FALSE),"")</f>
        <v>Moderate</v>
      </c>
      <c r="S79" s="375"/>
      <c r="T79" s="375"/>
      <c r="U79" s="374" t="s">
        <v>38</v>
      </c>
      <c r="V79" s="694"/>
      <c r="W79" s="694"/>
      <c r="X79" s="694"/>
      <c r="Y79" s="377">
        <v>45896</v>
      </c>
      <c r="Z79" s="373" t="s">
        <v>1520</v>
      </c>
      <c r="AA79" s="392"/>
      <c r="AB79" s="382">
        <v>0</v>
      </c>
      <c r="AC79" s="378" t="str">
        <f>_xlfn.LET(
  _xlpm.s, IFERROR(--_xlfn.TEXTBEFORE(K79,"/"), K79),
  _xlfn.XLOOKUP(_xlpm.s, 'RAD data'!$J$4:$J$8, 'RAD data'!$K$4:$K$8, "")
)</f>
        <v/>
      </c>
      <c r="AD79" s="382" t="str">
        <f t="shared" si="11"/>
        <v/>
      </c>
      <c r="AE79" s="382">
        <v>0</v>
      </c>
      <c r="AF79" s="378" t="str">
        <f>_xlfn.LET(
  _xlpm.s, IFERROR(--_xlfn.TEXTBEFORE(Q79,"/"), Q79),
  _xlfn.XLOOKUP(_xlpm.s, 'RAD data'!$J$4:$J$8, 'RAD data'!$K$4:$K$8, "")
)</f>
        <v/>
      </c>
      <c r="AG79" s="382" t="str">
        <f t="shared" si="12"/>
        <v/>
      </c>
      <c r="AH79" s="382" t="str">
        <f t="shared" si="13"/>
        <v/>
      </c>
      <c r="AI79" s="383" t="str">
        <f t="shared" si="14"/>
        <v/>
      </c>
    </row>
    <row r="80" spans="1:35" ht="110.4">
      <c r="A80" s="657"/>
      <c r="B80" s="384" t="str">
        <f t="shared" si="10"/>
        <v>PR_0073</v>
      </c>
      <c r="C80" s="384" t="s">
        <v>63</v>
      </c>
      <c r="D80" s="375" t="s">
        <v>1660</v>
      </c>
      <c r="E80" s="375" t="s">
        <v>1682</v>
      </c>
      <c r="F80" s="658">
        <v>45689</v>
      </c>
      <c r="G80" s="381" t="s">
        <v>1630</v>
      </c>
      <c r="H80" s="375" t="s">
        <v>34</v>
      </c>
      <c r="I80" s="375" t="s">
        <v>35</v>
      </c>
      <c r="J80" s="385">
        <v>4</v>
      </c>
      <c r="K80" s="385">
        <v>3</v>
      </c>
      <c r="L80" s="375" t="str">
        <f>IFERROR(VLOOKUP(CONCATENATE(J80,K80),'Risk matrix1'!$A$2:$C$26,2,FALSE),"")</f>
        <v>Major</v>
      </c>
      <c r="M80" s="375" t="s">
        <v>1522</v>
      </c>
      <c r="N80" s="354" t="s">
        <v>1631</v>
      </c>
      <c r="O80" s="375" t="s">
        <v>2343</v>
      </c>
      <c r="P80" s="375">
        <v>3</v>
      </c>
      <c r="Q80" s="375">
        <v>2</v>
      </c>
      <c r="R80" s="375" t="str">
        <f>IFERROR(VLOOKUP(CONCATENATE(P81,Q81),'Risk matrix1'!$A$2:$C$26,2,FALSE),"")</f>
        <v/>
      </c>
      <c r="S80" s="375" t="s">
        <v>254</v>
      </c>
      <c r="T80" s="375" t="s">
        <v>1538</v>
      </c>
      <c r="U80" s="375" t="s">
        <v>42</v>
      </c>
      <c r="V80" s="691"/>
      <c r="W80" s="691"/>
      <c r="X80" s="692"/>
      <c r="Y80" s="381"/>
      <c r="Z80" s="381"/>
      <c r="AA80" s="392"/>
      <c r="AB80" s="661">
        <v>10000000</v>
      </c>
      <c r="AC80" s="657">
        <f>_xlfn.LET(
  _xlpm.s, IFERROR(--_xlfn.TEXTBEFORE(K80,"/"), K80),
  _xlfn.XLOOKUP(_xlpm.s, 'RAD data'!$J$4:$J$8, 'RAD data'!$K$4:$K$8, "")
)</f>
        <v>0.6</v>
      </c>
      <c r="AD80" s="661">
        <f t="shared" si="11"/>
        <v>6000000</v>
      </c>
      <c r="AE80" s="661">
        <v>5000000</v>
      </c>
      <c r="AF80" s="657">
        <f>_xlfn.LET(
  _xlpm.s, IFERROR(--_xlfn.TEXTBEFORE(Q80,"/"), Q80),
  _xlfn.XLOOKUP(_xlpm.s, 'RAD data'!$J$4:$J$8, 'RAD data'!$K$4:$K$8, "")
)</f>
        <v>0.4</v>
      </c>
      <c r="AG80" s="661">
        <f t="shared" si="12"/>
        <v>2000000</v>
      </c>
      <c r="AH80" s="661">
        <f t="shared" si="13"/>
        <v>4000000</v>
      </c>
      <c r="AI80" s="662">
        <f t="shared" si="14"/>
        <v>0.66666666666666663</v>
      </c>
    </row>
    <row r="81" spans="1:35" ht="96.6">
      <c r="A81" s="378"/>
      <c r="B81" s="328" t="str">
        <f t="shared" si="10"/>
        <v>Closed - PR_0074</v>
      </c>
      <c r="C81" s="328" t="s">
        <v>23</v>
      </c>
      <c r="D81" s="374" t="s">
        <v>1662</v>
      </c>
      <c r="E81" s="374" t="s">
        <v>1673</v>
      </c>
      <c r="F81" s="374"/>
      <c r="G81" s="373" t="s">
        <v>1457</v>
      </c>
      <c r="H81" s="374" t="s">
        <v>34</v>
      </c>
      <c r="I81" s="374" t="s">
        <v>27</v>
      </c>
      <c r="J81" s="376"/>
      <c r="K81" s="376"/>
      <c r="L81" s="375" t="str">
        <f>IFERROR(VLOOKUP(CONCATENATE(J81,K81),'Risk matrix1'!$A$2:$C$26,2,FALSE),"")</f>
        <v/>
      </c>
      <c r="M81" s="375"/>
      <c r="N81" s="354" t="s">
        <v>1458</v>
      </c>
      <c r="O81" s="374" t="s">
        <v>43</v>
      </c>
      <c r="P81" s="375"/>
      <c r="Q81" s="375"/>
      <c r="R81" s="375" t="str">
        <f>IFERROR(VLOOKUP(CONCATENATE(P82,Q82),'Risk matrix1'!$A$2:$C$26,2,FALSE),"")</f>
        <v>Major</v>
      </c>
      <c r="S81" s="375"/>
      <c r="T81" s="375"/>
      <c r="U81" s="374" t="s">
        <v>38</v>
      </c>
      <c r="V81" s="694"/>
      <c r="W81" s="694"/>
      <c r="X81" s="694"/>
      <c r="Y81" s="377">
        <v>45896</v>
      </c>
      <c r="Z81" s="373" t="s">
        <v>1520</v>
      </c>
      <c r="AA81" s="392"/>
      <c r="AB81" s="382">
        <v>0</v>
      </c>
      <c r="AC81" s="378" t="str">
        <f>_xlfn.LET(
  _xlpm.s, IFERROR(--_xlfn.TEXTBEFORE(K81,"/"), K81),
  _xlfn.XLOOKUP(_xlpm.s, 'RAD data'!$J$4:$J$8, 'RAD data'!$K$4:$K$8, "")
)</f>
        <v/>
      </c>
      <c r="AD81" s="382" t="str">
        <f t="shared" si="11"/>
        <v/>
      </c>
      <c r="AE81" s="382">
        <v>0</v>
      </c>
      <c r="AF81" s="378" t="str">
        <f>_xlfn.LET(
  _xlpm.s, IFERROR(--_xlfn.TEXTBEFORE(Q81,"/"), Q81),
  _xlfn.XLOOKUP(_xlpm.s, 'RAD data'!$J$4:$J$8, 'RAD data'!$K$4:$K$8, "")
)</f>
        <v/>
      </c>
      <c r="AG81" s="382" t="str">
        <f t="shared" si="12"/>
        <v/>
      </c>
      <c r="AH81" s="382" t="str">
        <f t="shared" si="13"/>
        <v/>
      </c>
      <c r="AI81" s="383" t="str">
        <f t="shared" si="14"/>
        <v/>
      </c>
    </row>
    <row r="82" spans="1:35" ht="69">
      <c r="A82" s="657"/>
      <c r="B82" s="384" t="str">
        <f t="shared" si="10"/>
        <v>PR_0075</v>
      </c>
      <c r="C82" s="384" t="s">
        <v>23</v>
      </c>
      <c r="D82" s="375" t="s">
        <v>1662</v>
      </c>
      <c r="E82" s="375" t="s">
        <v>1673</v>
      </c>
      <c r="F82" s="658">
        <v>45689</v>
      </c>
      <c r="G82" s="381" t="s">
        <v>1632</v>
      </c>
      <c r="H82" s="375" t="s">
        <v>26</v>
      </c>
      <c r="I82" s="375" t="s">
        <v>51</v>
      </c>
      <c r="J82" s="385">
        <v>4</v>
      </c>
      <c r="K82" s="385">
        <v>3</v>
      </c>
      <c r="L82" s="375" t="str">
        <f>IFERROR(VLOOKUP(CONCATENATE(J82,K82),'Risk matrix1'!$A$2:$C$26,2,FALSE),"")</f>
        <v>Major</v>
      </c>
      <c r="M82" s="375" t="s">
        <v>1522</v>
      </c>
      <c r="N82" s="354" t="s">
        <v>1633</v>
      </c>
      <c r="O82" s="375" t="s">
        <v>161</v>
      </c>
      <c r="P82" s="375">
        <v>3</v>
      </c>
      <c r="Q82" s="375">
        <v>3</v>
      </c>
      <c r="R82" s="375" t="str">
        <f>IFERROR(VLOOKUP(CONCATENATE(P83,Q83),'Risk matrix1'!$A$2:$C$26,2,FALSE),"")</f>
        <v/>
      </c>
      <c r="S82" s="375" t="s">
        <v>70</v>
      </c>
      <c r="T82" s="375" t="s">
        <v>1519</v>
      </c>
      <c r="U82" s="375" t="s">
        <v>50</v>
      </c>
      <c r="V82" s="691"/>
      <c r="W82" s="691"/>
      <c r="X82" s="692"/>
      <c r="Y82" s="381"/>
      <c r="Z82" s="381"/>
      <c r="AA82" s="392"/>
      <c r="AB82" s="661">
        <v>100000000</v>
      </c>
      <c r="AC82" s="657">
        <f>_xlfn.LET(
  _xlpm.s, IFERROR(--_xlfn.TEXTBEFORE(K82,"/"), K82),
  _xlfn.XLOOKUP(_xlpm.s, 'RAD data'!$J$4:$J$8, 'RAD data'!$K$4:$K$8, "")
)</f>
        <v>0.6</v>
      </c>
      <c r="AD82" s="661">
        <f t="shared" si="11"/>
        <v>60000000</v>
      </c>
      <c r="AE82" s="661">
        <v>80000000</v>
      </c>
      <c r="AF82" s="657">
        <f>_xlfn.LET(
  _xlpm.s, IFERROR(--_xlfn.TEXTBEFORE(Q82,"/"), Q82),
  _xlfn.XLOOKUP(_xlpm.s, 'RAD data'!$J$4:$J$8, 'RAD data'!$K$4:$K$8, "")
)</f>
        <v>0.6</v>
      </c>
      <c r="AG82" s="661">
        <f t="shared" si="12"/>
        <v>48000000</v>
      </c>
      <c r="AH82" s="661">
        <f t="shared" si="13"/>
        <v>12000000</v>
      </c>
      <c r="AI82" s="662">
        <f t="shared" si="14"/>
        <v>0.2</v>
      </c>
    </row>
    <row r="83" spans="1:35" ht="96.6">
      <c r="A83" s="378"/>
      <c r="B83" s="328" t="str">
        <f t="shared" si="10"/>
        <v>Closed - PR_0076</v>
      </c>
      <c r="C83" s="328" t="s">
        <v>63</v>
      </c>
      <c r="D83" s="374" t="s">
        <v>1660</v>
      </c>
      <c r="E83" s="374" t="s">
        <v>1682</v>
      </c>
      <c r="F83" s="374"/>
      <c r="G83" s="373" t="s">
        <v>1634</v>
      </c>
      <c r="H83" s="374" t="s">
        <v>26</v>
      </c>
      <c r="I83" s="374" t="s">
        <v>51</v>
      </c>
      <c r="J83" s="376"/>
      <c r="K83" s="376"/>
      <c r="L83" s="375" t="str">
        <f>IFERROR(VLOOKUP(CONCATENATE(J83,K83),'Risk matrix1'!$A$2:$C$26,2,FALSE),"")</f>
        <v/>
      </c>
      <c r="M83" s="375"/>
      <c r="N83" s="354" t="s">
        <v>1635</v>
      </c>
      <c r="O83" s="374" t="s">
        <v>64</v>
      </c>
      <c r="P83" s="375"/>
      <c r="Q83" s="375"/>
      <c r="R83" s="375" t="str">
        <f>IFERROR(VLOOKUP(CONCATENATE(P84,Q84),'Risk matrix1'!$A$2:$C$26,2,FALSE),"")</f>
        <v>Major</v>
      </c>
      <c r="S83" s="375"/>
      <c r="T83" s="375"/>
      <c r="U83" s="374" t="s">
        <v>38</v>
      </c>
      <c r="V83" s="694"/>
      <c r="W83" s="694"/>
      <c r="X83" s="694"/>
      <c r="Y83" s="377">
        <v>45896</v>
      </c>
      <c r="Z83" s="373" t="s">
        <v>1520</v>
      </c>
      <c r="AA83" s="392"/>
      <c r="AB83" s="382">
        <v>0</v>
      </c>
      <c r="AC83" s="378" t="str">
        <f>_xlfn.LET(
  _xlpm.s, IFERROR(--_xlfn.TEXTBEFORE(K83,"/"), K83),
  _xlfn.XLOOKUP(_xlpm.s, 'RAD data'!$J$4:$J$8, 'RAD data'!$K$4:$K$8, "")
)</f>
        <v/>
      </c>
      <c r="AD83" s="382" t="str">
        <f t="shared" si="11"/>
        <v/>
      </c>
      <c r="AE83" s="382">
        <v>0</v>
      </c>
      <c r="AF83" s="378" t="str">
        <f>_xlfn.LET(
  _xlpm.s, IFERROR(--_xlfn.TEXTBEFORE(Q83,"/"), Q83),
  _xlfn.XLOOKUP(_xlpm.s, 'RAD data'!$J$4:$J$8, 'RAD data'!$K$4:$K$8, "")
)</f>
        <v/>
      </c>
      <c r="AG83" s="382" t="str">
        <f t="shared" si="12"/>
        <v/>
      </c>
      <c r="AH83" s="382" t="str">
        <f t="shared" si="13"/>
        <v/>
      </c>
      <c r="AI83" s="383" t="str">
        <f t="shared" si="14"/>
        <v/>
      </c>
    </row>
    <row r="84" spans="1:35" ht="165.6">
      <c r="A84" s="657"/>
      <c r="B84" s="384" t="str">
        <f t="shared" si="10"/>
        <v>PR_0077</v>
      </c>
      <c r="C84" s="384" t="s">
        <v>23</v>
      </c>
      <c r="D84" s="375" t="s">
        <v>1650</v>
      </c>
      <c r="E84" s="375" t="s">
        <v>1685</v>
      </c>
      <c r="F84" s="658">
        <v>45689</v>
      </c>
      <c r="G84" s="381" t="s">
        <v>1636</v>
      </c>
      <c r="H84" s="375" t="s">
        <v>34</v>
      </c>
      <c r="I84" s="375" t="s">
        <v>46</v>
      </c>
      <c r="J84" s="385">
        <v>4</v>
      </c>
      <c r="K84" s="385">
        <v>4</v>
      </c>
      <c r="L84" s="375" t="str">
        <f>IFERROR(VLOOKUP(CONCATENATE(J84,K84),'Risk matrix1'!$A$2:$C$26,2,FALSE),"")</f>
        <v>Severe</v>
      </c>
      <c r="M84" s="375" t="s">
        <v>1522</v>
      </c>
      <c r="N84" s="354" t="s">
        <v>1637</v>
      </c>
      <c r="O84" s="375" t="s">
        <v>41</v>
      </c>
      <c r="P84" s="375">
        <v>4</v>
      </c>
      <c r="Q84" s="375">
        <v>3</v>
      </c>
      <c r="R84" s="375" t="str">
        <f>IFERROR(VLOOKUP(CONCATENATE(P85,Q85),'Risk matrix1'!$A$2:$C$26,2,FALSE),"")</f>
        <v/>
      </c>
      <c r="S84" s="375" t="s">
        <v>254</v>
      </c>
      <c r="T84" s="375" t="s">
        <v>1538</v>
      </c>
      <c r="U84" s="375" t="s">
        <v>42</v>
      </c>
      <c r="V84" s="691"/>
      <c r="W84" s="691"/>
      <c r="X84" s="692"/>
      <c r="Y84" s="381"/>
      <c r="Z84" s="381"/>
      <c r="AA84" s="392"/>
      <c r="AB84" s="661">
        <v>10000000</v>
      </c>
      <c r="AC84" s="657">
        <f>_xlfn.LET(
  _xlpm.s, IFERROR(--_xlfn.TEXTBEFORE(K84,"/"), K84),
  _xlfn.XLOOKUP(_xlpm.s, 'RAD data'!$J$4:$J$8, 'RAD data'!$K$4:$K$8, "")
)</f>
        <v>0.8</v>
      </c>
      <c r="AD84" s="661">
        <f t="shared" si="11"/>
        <v>8000000</v>
      </c>
      <c r="AE84" s="661">
        <v>10000000</v>
      </c>
      <c r="AF84" s="657">
        <f>_xlfn.LET(
  _xlpm.s, IFERROR(--_xlfn.TEXTBEFORE(Q84,"/"), Q84),
  _xlfn.XLOOKUP(_xlpm.s, 'RAD data'!$J$4:$J$8, 'RAD data'!$K$4:$K$8, "")
)</f>
        <v>0.6</v>
      </c>
      <c r="AG84" s="661">
        <f t="shared" si="12"/>
        <v>6000000</v>
      </c>
      <c r="AH84" s="661">
        <f t="shared" si="13"/>
        <v>2000000</v>
      </c>
      <c r="AI84" s="662">
        <f t="shared" si="14"/>
        <v>0.25</v>
      </c>
    </row>
    <row r="85" spans="1:35" ht="82.8">
      <c r="A85" s="378"/>
      <c r="B85" s="328" t="str">
        <f t="shared" si="10"/>
        <v>Closed - PR_0078</v>
      </c>
      <c r="C85" s="328" t="s">
        <v>23</v>
      </c>
      <c r="D85" s="374" t="s">
        <v>1662</v>
      </c>
      <c r="E85" s="374" t="s">
        <v>1673</v>
      </c>
      <c r="F85" s="374"/>
      <c r="G85" s="373" t="s">
        <v>1460</v>
      </c>
      <c r="H85" s="374" t="s">
        <v>26</v>
      </c>
      <c r="I85" s="374" t="s">
        <v>27</v>
      </c>
      <c r="J85" s="376"/>
      <c r="K85" s="376"/>
      <c r="L85" s="375" t="str">
        <f>IFERROR(VLOOKUP(CONCATENATE(J85,K85),'Risk matrix1'!$A$2:$C$26,2,FALSE),"")</f>
        <v/>
      </c>
      <c r="M85" s="375"/>
      <c r="N85" s="354" t="s">
        <v>1461</v>
      </c>
      <c r="O85" s="374" t="s">
        <v>48</v>
      </c>
      <c r="P85" s="375"/>
      <c r="Q85" s="375"/>
      <c r="R85" s="375" t="str">
        <f>IFERROR(VLOOKUP(CONCATENATE(P86,Q86),'Risk matrix1'!$A$2:$C$26,2,FALSE),"")</f>
        <v/>
      </c>
      <c r="S85" s="375"/>
      <c r="T85" s="375"/>
      <c r="U85" s="374" t="s">
        <v>38</v>
      </c>
      <c r="V85" s="694"/>
      <c r="W85" s="694"/>
      <c r="X85" s="694"/>
      <c r="Y85" s="377">
        <v>45896</v>
      </c>
      <c r="Z85" s="373" t="s">
        <v>1520</v>
      </c>
      <c r="AA85" s="392"/>
      <c r="AB85" s="382">
        <v>0</v>
      </c>
      <c r="AC85" s="378" t="str">
        <f>_xlfn.LET(
  _xlpm.s, IFERROR(--_xlfn.TEXTBEFORE(K85,"/"), K85),
  _xlfn.XLOOKUP(_xlpm.s, 'RAD data'!$J$4:$J$8, 'RAD data'!$K$4:$K$8, "")
)</f>
        <v/>
      </c>
      <c r="AD85" s="382" t="str">
        <f t="shared" si="11"/>
        <v/>
      </c>
      <c r="AE85" s="382">
        <v>0</v>
      </c>
      <c r="AF85" s="378" t="str">
        <f>_xlfn.LET(
  _xlpm.s, IFERROR(--_xlfn.TEXTBEFORE(Q85,"/"), Q85),
  _xlfn.XLOOKUP(_xlpm.s, 'RAD data'!$J$4:$J$8, 'RAD data'!$K$4:$K$8, "")
)</f>
        <v/>
      </c>
      <c r="AG85" s="382" t="str">
        <f t="shared" si="12"/>
        <v/>
      </c>
      <c r="AH85" s="382" t="str">
        <f t="shared" si="13"/>
        <v/>
      </c>
      <c r="AI85" s="383" t="str">
        <f t="shared" si="14"/>
        <v/>
      </c>
    </row>
    <row r="86" spans="1:35" ht="110.4">
      <c r="A86" s="378"/>
      <c r="B86" s="328" t="str">
        <f t="shared" si="10"/>
        <v>Closed - PR_0079</v>
      </c>
      <c r="C86" s="328" t="s">
        <v>23</v>
      </c>
      <c r="D86" s="374" t="s">
        <v>1656</v>
      </c>
      <c r="E86" s="374" t="s">
        <v>1676</v>
      </c>
      <c r="F86" s="374"/>
      <c r="G86" s="373" t="s">
        <v>1463</v>
      </c>
      <c r="H86" s="374" t="s">
        <v>34</v>
      </c>
      <c r="I86" s="374" t="s">
        <v>27</v>
      </c>
      <c r="J86" s="376"/>
      <c r="K86" s="376"/>
      <c r="L86" s="375" t="str">
        <f>IFERROR(VLOOKUP(CONCATENATE(J86,K86),'Risk matrix1'!$A$2:$C$26,2,FALSE),"")</f>
        <v/>
      </c>
      <c r="M86" s="375"/>
      <c r="N86" s="354" t="s">
        <v>1464</v>
      </c>
      <c r="O86" s="374" t="s">
        <v>26</v>
      </c>
      <c r="P86" s="375"/>
      <c r="Q86" s="375"/>
      <c r="R86" s="375" t="str">
        <f>IFERROR(VLOOKUP(CONCATENATE(P87,Q87),'Risk matrix1'!$A$2:$C$26,2,FALSE),"")</f>
        <v/>
      </c>
      <c r="S86" s="375"/>
      <c r="T86" s="375"/>
      <c r="U86" s="374" t="s">
        <v>38</v>
      </c>
      <c r="V86" s="694"/>
      <c r="W86" s="694"/>
      <c r="X86" s="694"/>
      <c r="Y86" s="377">
        <v>45896</v>
      </c>
      <c r="Z86" s="373" t="s">
        <v>1520</v>
      </c>
      <c r="AA86" s="392"/>
      <c r="AB86" s="382">
        <v>0</v>
      </c>
      <c r="AC86" s="378" t="str">
        <f>_xlfn.LET(
  _xlpm.s, IFERROR(--_xlfn.TEXTBEFORE(K86,"/"), K86),
  _xlfn.XLOOKUP(_xlpm.s, 'RAD data'!$J$4:$J$8, 'RAD data'!$K$4:$K$8, "")
)</f>
        <v/>
      </c>
      <c r="AD86" s="382" t="str">
        <f t="shared" si="11"/>
        <v/>
      </c>
      <c r="AE86" s="382">
        <v>0</v>
      </c>
      <c r="AF86" s="378" t="str">
        <f>_xlfn.LET(
  _xlpm.s, IFERROR(--_xlfn.TEXTBEFORE(Q86,"/"), Q86),
  _xlfn.XLOOKUP(_xlpm.s, 'RAD data'!$J$4:$J$8, 'RAD data'!$K$4:$K$8, "")
)</f>
        <v/>
      </c>
      <c r="AG86" s="382" t="str">
        <f t="shared" si="12"/>
        <v/>
      </c>
      <c r="AH86" s="382" t="str">
        <f t="shared" si="13"/>
        <v/>
      </c>
      <c r="AI86" s="383" t="str">
        <f t="shared" si="14"/>
        <v/>
      </c>
    </row>
    <row r="87" spans="1:35" ht="151.80000000000001">
      <c r="A87" s="378"/>
      <c r="B87" s="328" t="str">
        <f t="shared" si="10"/>
        <v>Closed - PR_0080</v>
      </c>
      <c r="C87" s="328" t="s">
        <v>63</v>
      </c>
      <c r="D87" s="374" t="s">
        <v>1650</v>
      </c>
      <c r="E87" s="374" t="s">
        <v>1685</v>
      </c>
      <c r="F87" s="374"/>
      <c r="G87" s="373" t="s">
        <v>1466</v>
      </c>
      <c r="H87" s="374" t="s">
        <v>34</v>
      </c>
      <c r="I87" s="374" t="s">
        <v>58</v>
      </c>
      <c r="J87" s="376"/>
      <c r="K87" s="376"/>
      <c r="L87" s="375" t="str">
        <f>IFERROR(VLOOKUP(CONCATENATE(J87,K87),'Risk matrix1'!$A$2:$C$26,2,FALSE),"")</f>
        <v/>
      </c>
      <c r="M87" s="375" t="s">
        <v>1522</v>
      </c>
      <c r="N87" s="354" t="s">
        <v>1467</v>
      </c>
      <c r="O87" s="374" t="s">
        <v>26</v>
      </c>
      <c r="P87" s="375"/>
      <c r="Q87" s="375"/>
      <c r="R87" s="375" t="str">
        <f>IFERROR(VLOOKUP(CONCATENATE(P88,Q88),'Risk matrix1'!$A$2:$C$26,2,FALSE),"")</f>
        <v/>
      </c>
      <c r="S87" s="375"/>
      <c r="T87" s="375"/>
      <c r="U87" s="374" t="s">
        <v>38</v>
      </c>
      <c r="V87" s="694"/>
      <c r="W87" s="694"/>
      <c r="X87" s="694"/>
      <c r="Y87" s="377">
        <v>45896</v>
      </c>
      <c r="Z87" s="373" t="s">
        <v>1520</v>
      </c>
      <c r="AA87" s="392"/>
      <c r="AB87" s="382">
        <v>0</v>
      </c>
      <c r="AC87" s="378" t="str">
        <f>_xlfn.LET(
  _xlpm.s, IFERROR(--_xlfn.TEXTBEFORE(K87,"/"), K87),
  _xlfn.XLOOKUP(_xlpm.s, 'RAD data'!$J$4:$J$8, 'RAD data'!$K$4:$K$8, "")
)</f>
        <v/>
      </c>
      <c r="AD87" s="382" t="str">
        <f t="shared" si="11"/>
        <v/>
      </c>
      <c r="AE87" s="382">
        <v>0</v>
      </c>
      <c r="AF87" s="378" t="str">
        <f>_xlfn.LET(
  _xlpm.s, IFERROR(--_xlfn.TEXTBEFORE(Q87,"/"), Q87),
  _xlfn.XLOOKUP(_xlpm.s, 'RAD data'!$J$4:$J$8, 'RAD data'!$K$4:$K$8, "")
)</f>
        <v/>
      </c>
      <c r="AG87" s="382" t="str">
        <f t="shared" si="12"/>
        <v/>
      </c>
      <c r="AH87" s="382" t="str">
        <f t="shared" si="13"/>
        <v/>
      </c>
      <c r="AI87" s="383" t="str">
        <f t="shared" si="14"/>
        <v/>
      </c>
    </row>
    <row r="88" spans="1:35" s="398" customFormat="1" ht="96.6">
      <c r="A88" s="700"/>
      <c r="B88" s="384" t="s">
        <v>1465</v>
      </c>
      <c r="C88" s="328" t="s">
        <v>45</v>
      </c>
      <c r="D88" s="374" t="s">
        <v>1660</v>
      </c>
      <c r="E88" s="374" t="s">
        <v>1682</v>
      </c>
      <c r="F88" s="374"/>
      <c r="G88" s="373" t="s">
        <v>1469</v>
      </c>
      <c r="H88" s="374" t="s">
        <v>34</v>
      </c>
      <c r="I88" s="374" t="s">
        <v>51</v>
      </c>
      <c r="J88" s="376"/>
      <c r="K88" s="376"/>
      <c r="L88" s="375" t="str">
        <f>IFERROR(VLOOKUP(CONCATENATE(J88,K88),'Risk matrix1'!$A$2:$C$26,2,FALSE),"")</f>
        <v/>
      </c>
      <c r="M88" s="375"/>
      <c r="N88" s="354" t="s">
        <v>1470</v>
      </c>
      <c r="O88" s="375" t="s">
        <v>2343</v>
      </c>
      <c r="P88" s="375"/>
      <c r="Q88" s="375"/>
      <c r="R88" s="375" t="str">
        <f>IFERROR(VLOOKUP(CONCATENATE(P89,Q89),'Risk matrix1'!$A$2:$C$26,2,FALSE),"")</f>
        <v/>
      </c>
      <c r="S88" s="375"/>
      <c r="T88" s="375"/>
      <c r="U88" s="374" t="s">
        <v>38</v>
      </c>
      <c r="V88" s="694"/>
      <c r="W88" s="694"/>
      <c r="X88" s="694"/>
      <c r="Y88" s="377">
        <v>45896</v>
      </c>
      <c r="Z88" s="373" t="s">
        <v>1520</v>
      </c>
      <c r="AA88" s="392"/>
      <c r="AB88" s="382">
        <v>0</v>
      </c>
      <c r="AC88" s="378" t="str">
        <f>_xlfn.LET(
  _xlpm.s, IFERROR(--_xlfn.TEXTBEFORE(K88,"/"), K88),
  _xlfn.XLOOKUP(_xlpm.s, 'RAD data'!$J$4:$J$8, 'RAD data'!$K$4:$K$8, "")
)</f>
        <v/>
      </c>
      <c r="AD88" s="382" t="str">
        <f t="shared" si="11"/>
        <v/>
      </c>
      <c r="AE88" s="382">
        <v>0</v>
      </c>
      <c r="AF88" s="378" t="str">
        <f>_xlfn.LET(
  _xlpm.s, IFERROR(--_xlfn.TEXTBEFORE(Q88,"/"), Q88),
  _xlfn.XLOOKUP(_xlpm.s, 'RAD data'!$J$4:$J$8, 'RAD data'!$K$4:$K$8, "")
)</f>
        <v/>
      </c>
      <c r="AG88" s="382" t="str">
        <f t="shared" si="12"/>
        <v/>
      </c>
      <c r="AH88" s="382" t="str">
        <f t="shared" si="13"/>
        <v/>
      </c>
      <c r="AI88" s="383" t="str">
        <f t="shared" si="14"/>
        <v/>
      </c>
    </row>
    <row r="89" spans="1:35" ht="69">
      <c r="A89" s="378"/>
      <c r="B89" s="384" t="str">
        <f t="shared" si="10"/>
        <v>Closed - PR_0082</v>
      </c>
      <c r="C89" s="328" t="s">
        <v>45</v>
      </c>
      <c r="D89" s="374" t="s">
        <v>1340</v>
      </c>
      <c r="E89" s="374" t="s">
        <v>1691</v>
      </c>
      <c r="F89" s="374"/>
      <c r="G89" s="373" t="s">
        <v>1472</v>
      </c>
      <c r="H89" s="374" t="s">
        <v>34</v>
      </c>
      <c r="I89" s="374" t="s">
        <v>51</v>
      </c>
      <c r="J89" s="376"/>
      <c r="K89" s="376"/>
      <c r="L89" s="375" t="str">
        <f>IFERROR(VLOOKUP(CONCATENATE(J89,K89),'Risk matrix1'!$A$2:$C$26,2,FALSE),"")</f>
        <v/>
      </c>
      <c r="M89" s="375"/>
      <c r="N89" s="354" t="s">
        <v>1473</v>
      </c>
      <c r="O89" s="374" t="s">
        <v>26</v>
      </c>
      <c r="P89" s="375"/>
      <c r="Q89" s="375"/>
      <c r="R89" s="375" t="str">
        <f>IFERROR(VLOOKUP(CONCATENATE(P90,Q90),'Risk matrix1'!$A$2:$C$26,2,FALSE),"")</f>
        <v/>
      </c>
      <c r="S89" s="375"/>
      <c r="T89" s="375"/>
      <c r="U89" s="374" t="s">
        <v>38</v>
      </c>
      <c r="V89" s="694"/>
      <c r="W89" s="694"/>
      <c r="X89" s="694"/>
      <c r="Y89" s="377">
        <v>45896</v>
      </c>
      <c r="Z89" s="373" t="s">
        <v>1520</v>
      </c>
      <c r="AA89" s="392"/>
      <c r="AB89" s="382">
        <v>0</v>
      </c>
      <c r="AC89" s="378" t="str">
        <f>_xlfn.LET(
  _xlpm.s, IFERROR(--_xlfn.TEXTBEFORE(K89,"/"), K89),
  _xlfn.XLOOKUP(_xlpm.s, 'RAD data'!$J$4:$J$8, 'RAD data'!$K$4:$K$8, "")
)</f>
        <v/>
      </c>
      <c r="AD89" s="382" t="str">
        <f t="shared" si="11"/>
        <v/>
      </c>
      <c r="AE89" s="382">
        <v>0</v>
      </c>
      <c r="AF89" s="378" t="str">
        <f>_xlfn.LET(
  _xlpm.s, IFERROR(--_xlfn.TEXTBEFORE(Q89,"/"), Q89),
  _xlfn.XLOOKUP(_xlpm.s, 'RAD data'!$J$4:$J$8, 'RAD data'!$K$4:$K$8, "")
)</f>
        <v/>
      </c>
      <c r="AG89" s="382" t="str">
        <f t="shared" si="12"/>
        <v/>
      </c>
      <c r="AH89" s="382" t="str">
        <f t="shared" si="13"/>
        <v/>
      </c>
      <c r="AI89" s="383" t="str">
        <f t="shared" si="14"/>
        <v/>
      </c>
    </row>
    <row r="90" spans="1:35" ht="55.2">
      <c r="A90" s="378"/>
      <c r="B90" s="384" t="str">
        <f t="shared" si="10"/>
        <v>Closed - PR_0083</v>
      </c>
      <c r="C90" s="328" t="s">
        <v>45</v>
      </c>
      <c r="D90" s="374" t="s">
        <v>1660</v>
      </c>
      <c r="E90" s="374" t="s">
        <v>1682</v>
      </c>
      <c r="F90" s="374"/>
      <c r="G90" s="373" t="s">
        <v>1475</v>
      </c>
      <c r="H90" s="375" t="s">
        <v>34</v>
      </c>
      <c r="I90" s="375" t="s">
        <v>47</v>
      </c>
      <c r="J90" s="385"/>
      <c r="K90" s="385"/>
      <c r="L90" s="375" t="str">
        <f>IFERROR(VLOOKUP(CONCATENATE(J90,K90),'Risk matrix1'!$A$2:$C$26,2,FALSE),"")</f>
        <v/>
      </c>
      <c r="M90" s="375"/>
      <c r="N90" s="354" t="s">
        <v>1476</v>
      </c>
      <c r="O90" s="374" t="s">
        <v>48</v>
      </c>
      <c r="P90" s="375"/>
      <c r="Q90" s="375"/>
      <c r="R90" s="375" t="str">
        <f>IFERROR(VLOOKUP(CONCATENATE(P91,Q91),'Risk matrix1'!$A$2:$C$26,2,FALSE),"")</f>
        <v/>
      </c>
      <c r="S90" s="375"/>
      <c r="T90" s="375"/>
      <c r="U90" s="374" t="s">
        <v>38</v>
      </c>
      <c r="V90" s="694"/>
      <c r="W90" s="694"/>
      <c r="X90" s="694"/>
      <c r="Y90" s="377">
        <v>45896</v>
      </c>
      <c r="Z90" s="373" t="s">
        <v>1520</v>
      </c>
      <c r="AA90" s="392"/>
      <c r="AB90" s="382">
        <v>0</v>
      </c>
      <c r="AC90" s="378" t="str">
        <f>_xlfn.LET(
  _xlpm.s, IFERROR(--_xlfn.TEXTBEFORE(K90,"/"), K90),
  _xlfn.XLOOKUP(_xlpm.s, 'RAD data'!$J$4:$J$8, 'RAD data'!$K$4:$K$8, "")
)</f>
        <v/>
      </c>
      <c r="AD90" s="382" t="str">
        <f t="shared" si="11"/>
        <v/>
      </c>
      <c r="AE90" s="382">
        <v>0</v>
      </c>
      <c r="AF90" s="378" t="str">
        <f>_xlfn.LET(
  _xlpm.s, IFERROR(--_xlfn.TEXTBEFORE(Q90,"/"), Q90),
  _xlfn.XLOOKUP(_xlpm.s, 'RAD data'!$J$4:$J$8, 'RAD data'!$K$4:$K$8, "")
)</f>
        <v/>
      </c>
      <c r="AG90" s="382" t="str">
        <f t="shared" si="12"/>
        <v/>
      </c>
      <c r="AH90" s="382" t="str">
        <f t="shared" si="13"/>
        <v/>
      </c>
      <c r="AI90" s="383" t="str">
        <f t="shared" si="14"/>
        <v/>
      </c>
    </row>
    <row r="91" spans="1:35" ht="69">
      <c r="A91" s="378"/>
      <c r="B91" s="384" t="str">
        <f>IF(U91="Closed","Closed - " &amp; IF(G91&lt;&gt;"","PR_" &amp; TEXT(ROW(G91)-7,"0000"),""), IF(G91&lt;&gt;"","PR_" &amp; TEXT(ROW(G91)-7,"0000"),""))</f>
        <v>Closed - PR_0084</v>
      </c>
      <c r="C91" s="328" t="s">
        <v>63</v>
      </c>
      <c r="D91" s="374" t="s">
        <v>1660</v>
      </c>
      <c r="E91" s="374" t="s">
        <v>1682</v>
      </c>
      <c r="F91" s="374"/>
      <c r="G91" s="373" t="s">
        <v>1478</v>
      </c>
      <c r="H91" s="374" t="s">
        <v>26</v>
      </c>
      <c r="I91" s="374" t="s">
        <v>35</v>
      </c>
      <c r="J91" s="376"/>
      <c r="K91" s="376"/>
      <c r="L91" s="375" t="str">
        <f>IFERROR(VLOOKUP(CONCATENATE(J91,K91),'Risk matrix1'!$A$2:$C$26,2,FALSE),"")</f>
        <v/>
      </c>
      <c r="M91" s="375"/>
      <c r="N91" s="354" t="s">
        <v>1479</v>
      </c>
      <c r="O91" s="374" t="s">
        <v>43</v>
      </c>
      <c r="P91" s="375"/>
      <c r="Q91" s="375"/>
      <c r="R91" s="375" t="str">
        <f>IFERROR(VLOOKUP(CONCATENATE(P92,Q92),'Risk matrix1'!$A$2:$C$26,2,FALSE),"")</f>
        <v/>
      </c>
      <c r="S91" s="375"/>
      <c r="T91" s="375"/>
      <c r="U91" s="374" t="s">
        <v>38</v>
      </c>
      <c r="V91" s="694"/>
      <c r="W91" s="694"/>
      <c r="X91" s="694"/>
      <c r="Y91" s="377">
        <v>45896</v>
      </c>
      <c r="Z91" s="373" t="s">
        <v>1520</v>
      </c>
      <c r="AA91" s="373"/>
      <c r="AB91" s="382">
        <v>0</v>
      </c>
      <c r="AC91" s="378" t="str">
        <f>_xlfn.LET(
  _xlpm.s, IFERROR(--_xlfn.TEXTBEFORE(K91,"/"), K91),
  _xlfn.XLOOKUP(_xlpm.s, 'RAD data'!$J$4:$J$8, 'RAD data'!$K$4:$K$8, "")
)</f>
        <v/>
      </c>
      <c r="AD91" s="382" t="str">
        <f t="shared" si="11"/>
        <v/>
      </c>
      <c r="AE91" s="382">
        <v>0</v>
      </c>
      <c r="AF91" s="378" t="str">
        <f>_xlfn.LET(
  _xlpm.s, IFERROR(--_xlfn.TEXTBEFORE(Q91,"/"), Q91),
  _xlfn.XLOOKUP(_xlpm.s, 'RAD data'!$J$4:$J$8, 'RAD data'!$K$4:$K$8, "")
)</f>
        <v/>
      </c>
      <c r="AG91" s="382" t="str">
        <f t="shared" si="12"/>
        <v/>
      </c>
      <c r="AH91" s="382" t="str">
        <f t="shared" si="13"/>
        <v/>
      </c>
      <c r="AI91" s="383" t="str">
        <f t="shared" si="14"/>
        <v/>
      </c>
    </row>
    <row r="92" spans="1:35" ht="82.8">
      <c r="A92" s="378"/>
      <c r="B92" s="384" t="str">
        <f t="shared" ref="B92:B93" si="15">IF(U92="Closed","Closed - " &amp; IF(G92&lt;&gt;"","PR_" &amp; TEXT(ROW(G92)-7,"0000"),""), IF(G92&lt;&gt;"","PR_" &amp; TEXT(ROW(G92)-7,"0000"),""))</f>
        <v>Closed - PR_0085</v>
      </c>
      <c r="C92" s="328" t="s">
        <v>45</v>
      </c>
      <c r="D92" s="374" t="s">
        <v>1660</v>
      </c>
      <c r="E92" s="374" t="s">
        <v>1682</v>
      </c>
      <c r="F92" s="374"/>
      <c r="G92" s="373" t="s">
        <v>1481</v>
      </c>
      <c r="H92" s="374" t="s">
        <v>26</v>
      </c>
      <c r="I92" s="374" t="s">
        <v>27</v>
      </c>
      <c r="J92" s="376"/>
      <c r="K92" s="376"/>
      <c r="L92" s="375" t="str">
        <f>IFERROR(VLOOKUP(CONCATENATE(J92,K92),'Risk matrix1'!$A$2:$C$26,2,FALSE),"")</f>
        <v/>
      </c>
      <c r="M92" s="375"/>
      <c r="N92" s="354" t="s">
        <v>1482</v>
      </c>
      <c r="O92" s="374" t="s">
        <v>43</v>
      </c>
      <c r="P92" s="375"/>
      <c r="Q92" s="375"/>
      <c r="R92" s="375" t="str">
        <f>IFERROR(VLOOKUP(CONCATENATE(P93,Q93),'Risk matrix1'!$A$2:$C$26,2,FALSE),"")</f>
        <v/>
      </c>
      <c r="S92" s="375"/>
      <c r="T92" s="375"/>
      <c r="U92" s="374" t="s">
        <v>38</v>
      </c>
      <c r="V92" s="694"/>
      <c r="W92" s="694"/>
      <c r="X92" s="694"/>
      <c r="Y92" s="377">
        <v>45896</v>
      </c>
      <c r="Z92" s="373" t="s">
        <v>1520</v>
      </c>
      <c r="AA92" s="392"/>
      <c r="AB92" s="382">
        <v>0</v>
      </c>
      <c r="AC92" s="378" t="str">
        <f>_xlfn.LET(
  _xlpm.s, IFERROR(--_xlfn.TEXTBEFORE(K92,"/"), K92),
  _xlfn.XLOOKUP(_xlpm.s, 'RAD data'!$J$4:$J$8, 'RAD data'!$K$4:$K$8, "")
)</f>
        <v/>
      </c>
      <c r="AD92" s="382" t="str">
        <f t="shared" si="11"/>
        <v/>
      </c>
      <c r="AE92" s="382">
        <v>0</v>
      </c>
      <c r="AF92" s="378" t="str">
        <f>_xlfn.LET(
  _xlpm.s, IFERROR(--_xlfn.TEXTBEFORE(Q92,"/"), Q92),
  _xlfn.XLOOKUP(_xlpm.s, 'RAD data'!$J$4:$J$8, 'RAD data'!$K$4:$K$8, "")
)</f>
        <v/>
      </c>
      <c r="AG92" s="382" t="str">
        <f t="shared" si="12"/>
        <v/>
      </c>
      <c r="AH92" s="382" t="str">
        <f t="shared" si="13"/>
        <v/>
      </c>
      <c r="AI92" s="383" t="str">
        <f t="shared" si="14"/>
        <v/>
      </c>
    </row>
    <row r="93" spans="1:35" ht="26.55" customHeight="1">
      <c r="A93" s="378"/>
      <c r="B93" s="328" t="str">
        <f t="shared" si="15"/>
        <v>Closed - PR_0086</v>
      </c>
      <c r="C93" s="328" t="s">
        <v>23</v>
      </c>
      <c r="D93" s="374" t="s">
        <v>1662</v>
      </c>
      <c r="E93" s="374" t="s">
        <v>1673</v>
      </c>
      <c r="F93" s="374"/>
      <c r="G93" s="373" t="s">
        <v>1484</v>
      </c>
      <c r="H93" s="374" t="s">
        <v>34</v>
      </c>
      <c r="I93" s="374" t="s">
        <v>27</v>
      </c>
      <c r="J93" s="376"/>
      <c r="K93" s="376"/>
      <c r="L93" s="375" t="str">
        <f>IFERROR(VLOOKUP(CONCATENATE(J93,K93),'Risk matrix1'!$A$2:$C$26,2,FALSE),"")</f>
        <v/>
      </c>
      <c r="M93" s="375"/>
      <c r="N93" s="354"/>
      <c r="O93" s="374"/>
      <c r="P93" s="375"/>
      <c r="Q93" s="375"/>
      <c r="R93" s="375" t="str">
        <f>IFERROR(VLOOKUP(CONCATENATE(P94,Q94),'Risk matrix1'!$A$2:$C$26,2,FALSE),"")</f>
        <v>Major</v>
      </c>
      <c r="S93" s="375"/>
      <c r="T93" s="375"/>
      <c r="U93" s="374" t="s">
        <v>38</v>
      </c>
      <c r="V93" s="694"/>
      <c r="W93" s="694"/>
      <c r="X93" s="694"/>
      <c r="Y93" s="377">
        <v>45896</v>
      </c>
      <c r="Z93" s="373" t="s">
        <v>1520</v>
      </c>
      <c r="AA93" s="392"/>
      <c r="AB93" s="382">
        <v>0</v>
      </c>
      <c r="AC93" s="378" t="str">
        <f>_xlfn.LET(
  _xlpm.s, IFERROR(--_xlfn.TEXTBEFORE(K93,"/"), K93),
  _xlfn.XLOOKUP(_xlpm.s, 'RAD data'!$J$4:$J$8, 'RAD data'!$K$4:$K$8, "")
)</f>
        <v/>
      </c>
      <c r="AD93" s="382" t="str">
        <f t="shared" si="11"/>
        <v/>
      </c>
      <c r="AE93" s="382">
        <v>0</v>
      </c>
      <c r="AF93" s="378" t="str">
        <f>_xlfn.LET(
  _xlpm.s, IFERROR(--_xlfn.TEXTBEFORE(Q93,"/"), Q93),
  _xlfn.XLOOKUP(_xlpm.s, 'RAD data'!$J$4:$J$8, 'RAD data'!$K$4:$K$8, "")
)</f>
        <v/>
      </c>
      <c r="AG93" s="382" t="str">
        <f t="shared" si="12"/>
        <v/>
      </c>
      <c r="AH93" s="382" t="str">
        <f t="shared" si="13"/>
        <v/>
      </c>
      <c r="AI93" s="383" t="str">
        <f t="shared" si="14"/>
        <v/>
      </c>
    </row>
    <row r="94" spans="1:35" ht="151.80000000000001">
      <c r="A94" s="657"/>
      <c r="B94" s="384" t="str">
        <f>IF(U94="Closed","Closed - " &amp; IF(G94&lt;&gt;"","PR_" &amp; TEXT(ROW(G94)-7,"0000"),""), IF(G94&lt;&gt;"","PR_" &amp; TEXT(ROW(G94)-7,"0000"),""))</f>
        <v>PR_0087</v>
      </c>
      <c r="C94" s="384" t="s">
        <v>63</v>
      </c>
      <c r="D94" s="375" t="s">
        <v>1650</v>
      </c>
      <c r="E94" s="375" t="s">
        <v>1685</v>
      </c>
      <c r="F94" s="658">
        <v>46023</v>
      </c>
      <c r="G94" s="381" t="s">
        <v>2382</v>
      </c>
      <c r="H94" s="375" t="s">
        <v>26</v>
      </c>
      <c r="I94" s="375" t="s">
        <v>57</v>
      </c>
      <c r="J94" s="385">
        <v>3</v>
      </c>
      <c r="K94" s="385">
        <v>5</v>
      </c>
      <c r="L94" s="375" t="str">
        <f>IFERROR(VLOOKUP(CONCATENATE(J94,K94),'Risk matrix1'!$A$2:$C$26,2,FALSE),"")</f>
        <v>Severe</v>
      </c>
      <c r="M94" s="375" t="s">
        <v>1522</v>
      </c>
      <c r="N94" s="354" t="s">
        <v>2383</v>
      </c>
      <c r="O94" s="375" t="s">
        <v>41</v>
      </c>
      <c r="P94" s="375">
        <v>3</v>
      </c>
      <c r="Q94" s="375">
        <v>4</v>
      </c>
      <c r="R94" s="375" t="str">
        <f>IFERROR(VLOOKUP(CONCATENATE(P95,Q95),'Risk matrix1'!$A$2:$C$26,2,FALSE),"")</f>
        <v/>
      </c>
      <c r="S94" s="375" t="s">
        <v>254</v>
      </c>
      <c r="T94" s="375" t="s">
        <v>1538</v>
      </c>
      <c r="U94" s="375" t="s">
        <v>50</v>
      </c>
      <c r="V94" s="691"/>
      <c r="W94" s="691"/>
      <c r="X94" s="692"/>
      <c r="Y94" s="381"/>
      <c r="Z94" s="381"/>
      <c r="AA94" s="392"/>
      <c r="AB94" s="661">
        <v>3000000</v>
      </c>
      <c r="AC94" s="657">
        <f>_xlfn.LET(
  _xlpm.s, IFERROR(--_xlfn.TEXTBEFORE(K94,"/"), K94),
  _xlfn.XLOOKUP(_xlpm.s, 'RAD data'!$J$4:$J$8, 'RAD data'!$K$4:$K$8, "")
)</f>
        <v>1</v>
      </c>
      <c r="AD94" s="661">
        <f t="shared" si="11"/>
        <v>3000000</v>
      </c>
      <c r="AE94" s="661">
        <v>3000000</v>
      </c>
      <c r="AF94" s="657">
        <f>_xlfn.LET(
  _xlpm.s, IFERROR(--_xlfn.TEXTBEFORE(Q94,"/"), Q94),
  _xlfn.XLOOKUP(_xlpm.s, 'RAD data'!$J$4:$J$8, 'RAD data'!$K$4:$K$8, "")
)</f>
        <v>0.8</v>
      </c>
      <c r="AG94" s="661">
        <f t="shared" si="12"/>
        <v>2400000</v>
      </c>
      <c r="AH94" s="661">
        <f t="shared" si="13"/>
        <v>600000</v>
      </c>
      <c r="AI94" s="662">
        <f t="shared" si="14"/>
        <v>0.2</v>
      </c>
    </row>
    <row r="95" spans="1:35" ht="14.25" customHeight="1">
      <c r="A95" s="657"/>
      <c r="B95" s="384" t="str">
        <f t="shared" ref="B95:B110" si="16">IF(U95="Closed","Closed - " &amp; IF(G95&lt;&gt;"","PR_" &amp; TEXT(ROW(G95)-7,"0000"),""), IF(G95&lt;&gt;"","PR_" &amp; TEXT(ROW(G95)-7,"0000"),""))</f>
        <v/>
      </c>
      <c r="C95" s="384"/>
      <c r="D95" s="375"/>
      <c r="E95" s="375"/>
      <c r="F95" s="375"/>
      <c r="G95" s="381"/>
      <c r="H95" s="375"/>
      <c r="I95" s="375"/>
      <c r="J95" s="385"/>
      <c r="K95" s="385"/>
      <c r="L95" s="375" t="str">
        <f>IFERROR(VLOOKUP(CONCATENATE(J95,K95),'Risk matrix1'!$A$2:$C$26,2,FALSE),"")</f>
        <v/>
      </c>
      <c r="M95" s="375"/>
      <c r="N95" s="354"/>
      <c r="O95" s="375"/>
      <c r="P95" s="375"/>
      <c r="Q95" s="375"/>
      <c r="R95" s="375" t="str">
        <f>IFERROR(VLOOKUP(CONCATENATE(P96,Q96),'Risk matrix1'!$A$2:$C$26,2,FALSE),"")</f>
        <v/>
      </c>
      <c r="S95" s="375"/>
      <c r="T95" s="375"/>
      <c r="U95" s="375"/>
      <c r="V95" s="691"/>
      <c r="W95" s="691"/>
      <c r="X95" s="692"/>
      <c r="Y95" s="381"/>
      <c r="Z95" s="381"/>
      <c r="AA95" s="392"/>
      <c r="AB95" s="661"/>
      <c r="AC95" s="657"/>
      <c r="AD95" s="661">
        <f t="shared" si="11"/>
        <v>0</v>
      </c>
      <c r="AE95" s="661"/>
      <c r="AF95" s="657"/>
      <c r="AG95" s="661">
        <f t="shared" si="12"/>
        <v>0</v>
      </c>
      <c r="AH95" s="661">
        <f t="shared" si="13"/>
        <v>0</v>
      </c>
      <c r="AI95" s="662" t="str">
        <f t="shared" si="14"/>
        <v/>
      </c>
    </row>
    <row r="96" spans="1:35" ht="14.25" customHeight="1">
      <c r="A96" s="657"/>
      <c r="B96" s="384" t="str">
        <f t="shared" si="16"/>
        <v/>
      </c>
      <c r="C96" s="384"/>
      <c r="D96" s="375"/>
      <c r="E96" s="375"/>
      <c r="F96" s="375"/>
      <c r="G96" s="381"/>
      <c r="H96" s="375"/>
      <c r="I96" s="375"/>
      <c r="J96" s="385"/>
      <c r="K96" s="385"/>
      <c r="L96" s="375" t="str">
        <f>IFERROR(VLOOKUP(CONCATENATE(J96,K96),'Risk matrix1'!$A$2:$C$26,2,FALSE),"")</f>
        <v/>
      </c>
      <c r="M96" s="375"/>
      <c r="N96" s="354"/>
      <c r="O96" s="375"/>
      <c r="P96" s="375"/>
      <c r="Q96" s="375"/>
      <c r="R96" s="375" t="str">
        <f>IFERROR(VLOOKUP(CONCATENATE(P97,Q97),'Risk matrix1'!$A$2:$C$26,2,FALSE),"")</f>
        <v/>
      </c>
      <c r="S96" s="375"/>
      <c r="T96" s="375"/>
      <c r="U96" s="375"/>
      <c r="V96" s="691"/>
      <c r="W96" s="691"/>
      <c r="X96" s="692"/>
      <c r="Y96" s="381"/>
      <c r="Z96" s="381"/>
      <c r="AA96" s="392"/>
      <c r="AB96" s="661"/>
      <c r="AC96" s="657"/>
      <c r="AD96" s="661">
        <f t="shared" si="11"/>
        <v>0</v>
      </c>
      <c r="AE96" s="661"/>
      <c r="AF96" s="657"/>
      <c r="AG96" s="661">
        <f t="shared" si="12"/>
        <v>0</v>
      </c>
      <c r="AH96" s="661">
        <f t="shared" si="13"/>
        <v>0</v>
      </c>
      <c r="AI96" s="662" t="str">
        <f t="shared" si="14"/>
        <v/>
      </c>
    </row>
    <row r="97" spans="1:35" ht="14.25" customHeight="1">
      <c r="A97" s="657"/>
      <c r="B97" s="384" t="str">
        <f t="shared" si="16"/>
        <v/>
      </c>
      <c r="C97" s="384"/>
      <c r="D97" s="375"/>
      <c r="E97" s="375"/>
      <c r="F97" s="375"/>
      <c r="G97" s="381"/>
      <c r="H97" s="375"/>
      <c r="I97" s="375"/>
      <c r="J97" s="385"/>
      <c r="K97" s="385"/>
      <c r="L97" s="375" t="str">
        <f>IFERROR(VLOOKUP(CONCATENATE(J97,K97),'Risk matrix1'!$A$2:$C$26,2,FALSE),"")</f>
        <v/>
      </c>
      <c r="M97" s="375"/>
      <c r="N97" s="354"/>
      <c r="O97" s="375"/>
      <c r="P97" s="375"/>
      <c r="Q97" s="375"/>
      <c r="R97" s="375" t="str">
        <f>IFERROR(VLOOKUP(CONCATENATE(P98,Q98),'Risk matrix1'!$A$2:$C$26,2,FALSE),"")</f>
        <v/>
      </c>
      <c r="S97" s="375"/>
      <c r="T97" s="375"/>
      <c r="U97" s="375"/>
      <c r="V97" s="691"/>
      <c r="W97" s="691"/>
      <c r="X97" s="692"/>
      <c r="Y97" s="381"/>
      <c r="Z97" s="381"/>
      <c r="AA97" s="392"/>
      <c r="AB97" s="661"/>
      <c r="AC97" s="657"/>
      <c r="AD97" s="661">
        <f t="shared" si="11"/>
        <v>0</v>
      </c>
      <c r="AE97" s="661"/>
      <c r="AF97" s="657"/>
      <c r="AG97" s="661">
        <f t="shared" si="12"/>
        <v>0</v>
      </c>
      <c r="AH97" s="661">
        <f t="shared" si="13"/>
        <v>0</v>
      </c>
      <c r="AI97" s="662" t="str">
        <f t="shared" si="14"/>
        <v/>
      </c>
    </row>
    <row r="98" spans="1:35" ht="14.25" customHeight="1">
      <c r="A98" s="657"/>
      <c r="B98" s="384" t="str">
        <f t="shared" si="16"/>
        <v/>
      </c>
      <c r="C98" s="384"/>
      <c r="D98" s="375"/>
      <c r="E98" s="375"/>
      <c r="F98" s="375"/>
      <c r="G98" s="381"/>
      <c r="H98" s="375"/>
      <c r="I98" s="375"/>
      <c r="J98" s="385"/>
      <c r="K98" s="385"/>
      <c r="L98" s="375" t="str">
        <f>IFERROR(VLOOKUP(CONCATENATE(J98,K98),'Risk matrix1'!$A$2:$C$26,2,FALSE),"")</f>
        <v/>
      </c>
      <c r="M98" s="375"/>
      <c r="N98" s="354"/>
      <c r="O98" s="375"/>
      <c r="P98" s="375"/>
      <c r="Q98" s="375"/>
      <c r="R98" s="375" t="str">
        <f>IFERROR(VLOOKUP(CONCATENATE(P99,Q99),'Risk matrix1'!$A$2:$C$26,2,FALSE),"")</f>
        <v/>
      </c>
      <c r="S98" s="375"/>
      <c r="T98" s="375"/>
      <c r="U98" s="375"/>
      <c r="V98" s="691"/>
      <c r="W98" s="691"/>
      <c r="X98" s="692"/>
      <c r="Y98" s="381"/>
      <c r="Z98" s="381"/>
      <c r="AA98" s="392"/>
      <c r="AB98" s="661"/>
      <c r="AC98" s="657"/>
      <c r="AD98" s="661">
        <f t="shared" si="11"/>
        <v>0</v>
      </c>
      <c r="AE98" s="661"/>
      <c r="AF98" s="657"/>
      <c r="AG98" s="661">
        <f t="shared" si="12"/>
        <v>0</v>
      </c>
      <c r="AH98" s="661">
        <f t="shared" si="13"/>
        <v>0</v>
      </c>
      <c r="AI98" s="662" t="str">
        <f t="shared" si="14"/>
        <v/>
      </c>
    </row>
    <row r="99" spans="1:35" ht="14.25" customHeight="1">
      <c r="A99" s="657"/>
      <c r="B99" s="384" t="str">
        <f t="shared" si="16"/>
        <v/>
      </c>
      <c r="C99" s="384"/>
      <c r="D99" s="375"/>
      <c r="E99" s="375"/>
      <c r="F99" s="375"/>
      <c r="G99" s="381"/>
      <c r="H99" s="375"/>
      <c r="I99" s="375"/>
      <c r="J99" s="385"/>
      <c r="K99" s="385"/>
      <c r="L99" s="375" t="str">
        <f>IFERROR(VLOOKUP(CONCATENATE(J99,K99),'Risk matrix1'!$A$2:$C$26,2,FALSE),"")</f>
        <v/>
      </c>
      <c r="M99" s="375"/>
      <c r="N99" s="354"/>
      <c r="O99" s="375"/>
      <c r="P99" s="375"/>
      <c r="Q99" s="375"/>
      <c r="R99" s="375" t="str">
        <f>IFERROR(VLOOKUP(CONCATENATE(P100,Q100),'Risk matrix1'!$A$2:$C$26,2,FALSE),"")</f>
        <v/>
      </c>
      <c r="S99" s="375"/>
      <c r="T99" s="375"/>
      <c r="U99" s="375"/>
      <c r="V99" s="691"/>
      <c r="W99" s="691"/>
      <c r="X99" s="692"/>
      <c r="Y99" s="381"/>
      <c r="Z99" s="381"/>
      <c r="AA99" s="392"/>
      <c r="AB99" s="661"/>
      <c r="AC99" s="657"/>
      <c r="AD99" s="661">
        <f t="shared" si="11"/>
        <v>0</v>
      </c>
      <c r="AE99" s="661"/>
      <c r="AF99" s="657"/>
      <c r="AG99" s="661">
        <f t="shared" si="12"/>
        <v>0</v>
      </c>
      <c r="AH99" s="661">
        <f t="shared" si="13"/>
        <v>0</v>
      </c>
      <c r="AI99" s="662" t="str">
        <f t="shared" si="14"/>
        <v/>
      </c>
    </row>
    <row r="100" spans="1:35" ht="14.25" customHeight="1">
      <c r="A100" s="657"/>
      <c r="B100" s="384" t="str">
        <f t="shared" si="16"/>
        <v/>
      </c>
      <c r="C100" s="384"/>
      <c r="D100" s="375"/>
      <c r="E100" s="375"/>
      <c r="F100" s="375"/>
      <c r="G100" s="381"/>
      <c r="H100" s="375"/>
      <c r="I100" s="375"/>
      <c r="J100" s="385"/>
      <c r="K100" s="385"/>
      <c r="L100" s="375" t="str">
        <f>IFERROR(VLOOKUP(CONCATENATE(J100,K100),'Risk matrix1'!$A$2:$C$26,2,FALSE),"")</f>
        <v/>
      </c>
      <c r="M100" s="375"/>
      <c r="N100" s="354"/>
      <c r="O100" s="375"/>
      <c r="P100" s="375"/>
      <c r="Q100" s="375"/>
      <c r="R100" s="375" t="str">
        <f>IFERROR(VLOOKUP(CONCATENATE(P101,Q101),'Risk matrix1'!$A$2:$C$26,2,FALSE),"")</f>
        <v/>
      </c>
      <c r="S100" s="375"/>
      <c r="T100" s="375"/>
      <c r="U100" s="375"/>
      <c r="V100" s="691"/>
      <c r="W100" s="691"/>
      <c r="X100" s="692"/>
      <c r="Y100" s="381"/>
      <c r="Z100" s="381"/>
      <c r="AA100" s="392"/>
      <c r="AB100" s="661"/>
      <c r="AC100" s="657"/>
      <c r="AD100" s="661">
        <f t="shared" si="11"/>
        <v>0</v>
      </c>
      <c r="AE100" s="661"/>
      <c r="AF100" s="657"/>
      <c r="AG100" s="661">
        <f t="shared" si="12"/>
        <v>0</v>
      </c>
      <c r="AH100" s="661">
        <f t="shared" si="13"/>
        <v>0</v>
      </c>
      <c r="AI100" s="662" t="str">
        <f t="shared" si="14"/>
        <v/>
      </c>
    </row>
    <row r="101" spans="1:35" ht="14.25" customHeight="1">
      <c r="A101" s="657"/>
      <c r="B101" s="384" t="str">
        <f t="shared" si="16"/>
        <v/>
      </c>
      <c r="C101" s="384"/>
      <c r="D101" s="375"/>
      <c r="E101" s="375"/>
      <c r="F101" s="375"/>
      <c r="G101" s="381"/>
      <c r="H101" s="375"/>
      <c r="I101" s="375"/>
      <c r="J101" s="385"/>
      <c r="K101" s="385"/>
      <c r="L101" s="375" t="str">
        <f>IFERROR(VLOOKUP(CONCATENATE(J101,K101),'Risk matrix1'!$A$2:$C$26,2,FALSE),"")</f>
        <v/>
      </c>
      <c r="M101" s="375"/>
      <c r="N101" s="354"/>
      <c r="O101" s="375"/>
      <c r="P101" s="375"/>
      <c r="Q101" s="375"/>
      <c r="R101" s="375" t="str">
        <f>IFERROR(VLOOKUP(CONCATENATE(P102,Q102),'Risk matrix1'!$A$2:$C$26,2,FALSE),"")</f>
        <v/>
      </c>
      <c r="S101" s="375"/>
      <c r="T101" s="375"/>
      <c r="U101" s="375"/>
      <c r="V101" s="691"/>
      <c r="W101" s="691"/>
      <c r="X101" s="692"/>
      <c r="Y101" s="381"/>
      <c r="Z101" s="381"/>
      <c r="AA101" s="392"/>
      <c r="AB101" s="661"/>
      <c r="AC101" s="657"/>
      <c r="AD101" s="661">
        <f t="shared" si="11"/>
        <v>0</v>
      </c>
      <c r="AE101" s="661"/>
      <c r="AF101" s="657"/>
      <c r="AG101" s="661">
        <f t="shared" si="12"/>
        <v>0</v>
      </c>
      <c r="AH101" s="661">
        <f t="shared" si="13"/>
        <v>0</v>
      </c>
      <c r="AI101" s="662" t="str">
        <f t="shared" si="14"/>
        <v/>
      </c>
    </row>
    <row r="102" spans="1:35" ht="14.25" customHeight="1">
      <c r="A102" s="657"/>
      <c r="B102" s="384" t="str">
        <f t="shared" si="16"/>
        <v/>
      </c>
      <c r="C102" s="384"/>
      <c r="D102" s="375"/>
      <c r="E102" s="375"/>
      <c r="F102" s="375"/>
      <c r="G102" s="381"/>
      <c r="H102" s="375"/>
      <c r="I102" s="375"/>
      <c r="J102" s="385"/>
      <c r="K102" s="385"/>
      <c r="L102" s="375" t="str">
        <f>IFERROR(VLOOKUP(CONCATENATE(J102,K102),'Risk matrix1'!$A$2:$C$26,2,FALSE),"")</f>
        <v/>
      </c>
      <c r="M102" s="375"/>
      <c r="N102" s="354"/>
      <c r="O102" s="375"/>
      <c r="P102" s="375"/>
      <c r="Q102" s="375"/>
      <c r="R102" s="375" t="str">
        <f>IFERROR(VLOOKUP(CONCATENATE(P103,Q103),'Risk matrix1'!$A$2:$C$26,2,FALSE),"")</f>
        <v/>
      </c>
      <c r="S102" s="375"/>
      <c r="T102" s="375"/>
      <c r="U102" s="375"/>
      <c r="V102" s="691"/>
      <c r="W102" s="691"/>
      <c r="X102" s="692"/>
      <c r="Y102" s="381"/>
      <c r="Z102" s="381"/>
      <c r="AA102" s="392"/>
      <c r="AB102" s="661"/>
      <c r="AC102" s="657"/>
      <c r="AD102" s="661">
        <f t="shared" si="11"/>
        <v>0</v>
      </c>
      <c r="AE102" s="661"/>
      <c r="AF102" s="657"/>
      <c r="AG102" s="661">
        <f t="shared" si="12"/>
        <v>0</v>
      </c>
      <c r="AH102" s="661">
        <f t="shared" si="13"/>
        <v>0</v>
      </c>
      <c r="AI102" s="662" t="str">
        <f t="shared" si="14"/>
        <v/>
      </c>
    </row>
    <row r="103" spans="1:35" ht="14.25" customHeight="1">
      <c r="A103" s="657"/>
      <c r="B103" s="384" t="str">
        <f t="shared" si="16"/>
        <v/>
      </c>
      <c r="C103" s="384"/>
      <c r="D103" s="375"/>
      <c r="E103" s="375"/>
      <c r="F103" s="375"/>
      <c r="G103" s="381"/>
      <c r="H103" s="375"/>
      <c r="I103" s="375"/>
      <c r="J103" s="385"/>
      <c r="K103" s="385"/>
      <c r="L103" s="375" t="str">
        <f>IFERROR(VLOOKUP(CONCATENATE(J103,K103),'Risk matrix1'!$A$2:$C$26,2,FALSE),"")</f>
        <v/>
      </c>
      <c r="M103" s="375"/>
      <c r="N103" s="354"/>
      <c r="O103" s="375"/>
      <c r="P103" s="375"/>
      <c r="Q103" s="375"/>
      <c r="R103" s="375" t="str">
        <f>IFERROR(VLOOKUP(CONCATENATE(P104,Q104),'Risk matrix1'!$A$2:$C$26,2,FALSE),"")</f>
        <v/>
      </c>
      <c r="S103" s="375"/>
      <c r="T103" s="375"/>
      <c r="U103" s="375"/>
      <c r="V103" s="691"/>
      <c r="W103" s="691"/>
      <c r="X103" s="692"/>
      <c r="Y103" s="381"/>
      <c r="Z103" s="381"/>
      <c r="AA103" s="392"/>
      <c r="AB103" s="661"/>
      <c r="AC103" s="657"/>
      <c r="AD103" s="661">
        <f t="shared" si="11"/>
        <v>0</v>
      </c>
      <c r="AE103" s="661"/>
      <c r="AF103" s="657"/>
      <c r="AG103" s="661">
        <f t="shared" si="12"/>
        <v>0</v>
      </c>
      <c r="AH103" s="661">
        <f t="shared" si="13"/>
        <v>0</v>
      </c>
      <c r="AI103" s="662" t="str">
        <f t="shared" si="14"/>
        <v/>
      </c>
    </row>
    <row r="104" spans="1:35" ht="14.25" customHeight="1">
      <c r="A104" s="657"/>
      <c r="B104" s="384" t="str">
        <f t="shared" si="16"/>
        <v/>
      </c>
      <c r="C104" s="384"/>
      <c r="D104" s="375"/>
      <c r="E104" s="375"/>
      <c r="F104" s="375"/>
      <c r="G104" s="381"/>
      <c r="H104" s="375"/>
      <c r="I104" s="375"/>
      <c r="J104" s="385"/>
      <c r="K104" s="385"/>
      <c r="L104" s="375" t="str">
        <f>IFERROR(VLOOKUP(CONCATENATE(J104,K104),'Risk matrix1'!$A$2:$C$26,2,FALSE),"")</f>
        <v/>
      </c>
      <c r="M104" s="375"/>
      <c r="N104" s="354"/>
      <c r="O104" s="375"/>
      <c r="P104" s="375"/>
      <c r="Q104" s="375"/>
      <c r="R104" s="375" t="str">
        <f>IFERROR(VLOOKUP(CONCATENATE(P105,Q105),'Risk matrix1'!$A$2:$C$26,2,FALSE),"")</f>
        <v/>
      </c>
      <c r="S104" s="375"/>
      <c r="T104" s="375"/>
      <c r="U104" s="375"/>
      <c r="V104" s="691"/>
      <c r="W104" s="691"/>
      <c r="X104" s="692"/>
      <c r="Y104" s="381"/>
      <c r="Z104" s="381"/>
      <c r="AA104" s="392"/>
      <c r="AB104" s="661"/>
      <c r="AC104" s="657"/>
      <c r="AD104" s="661">
        <f t="shared" ref="AD104:AD110" si="17">IFERROR(SUM(AB104*AC104),"")</f>
        <v>0</v>
      </c>
      <c r="AE104" s="661"/>
      <c r="AF104" s="657"/>
      <c r="AG104" s="661">
        <f t="shared" ref="AG104:AG110" si="18">IFERROR(SUM(AE104*AF104),"")</f>
        <v>0</v>
      </c>
      <c r="AH104" s="661">
        <f t="shared" ref="AH104:AH110" si="19">IFERROR(SUM(AD104-AG104),"")</f>
        <v>0</v>
      </c>
      <c r="AI104" s="662" t="str">
        <f t="shared" ref="AI104:AI110" si="20">IFERROR(SUM(AH104/AD104),"")</f>
        <v/>
      </c>
    </row>
    <row r="105" spans="1:35" ht="14.25" customHeight="1">
      <c r="A105" s="657"/>
      <c r="B105" s="384" t="str">
        <f t="shared" si="16"/>
        <v/>
      </c>
      <c r="C105" s="384"/>
      <c r="D105" s="375"/>
      <c r="E105" s="375"/>
      <c r="F105" s="375"/>
      <c r="G105" s="381"/>
      <c r="H105" s="375"/>
      <c r="I105" s="375"/>
      <c r="J105" s="385"/>
      <c r="K105" s="385"/>
      <c r="L105" s="375" t="str">
        <f>IFERROR(VLOOKUP(CONCATENATE(J105,K105),'Risk matrix1'!$A$2:$C$26,2,FALSE),"")</f>
        <v/>
      </c>
      <c r="M105" s="375"/>
      <c r="N105" s="354"/>
      <c r="O105" s="375"/>
      <c r="P105" s="375"/>
      <c r="Q105" s="375"/>
      <c r="R105" s="375" t="str">
        <f>IFERROR(VLOOKUP(CONCATENATE(P106,Q106),'Risk matrix1'!$A$2:$C$26,2,FALSE),"")</f>
        <v/>
      </c>
      <c r="S105" s="375"/>
      <c r="T105" s="375"/>
      <c r="U105" s="375"/>
      <c r="V105" s="691"/>
      <c r="W105" s="691"/>
      <c r="X105" s="692"/>
      <c r="Y105" s="381"/>
      <c r="Z105" s="381"/>
      <c r="AA105" s="392"/>
      <c r="AB105" s="661"/>
      <c r="AC105" s="657"/>
      <c r="AD105" s="661">
        <f t="shared" si="17"/>
        <v>0</v>
      </c>
      <c r="AE105" s="661"/>
      <c r="AF105" s="657"/>
      <c r="AG105" s="661">
        <f t="shared" si="18"/>
        <v>0</v>
      </c>
      <c r="AH105" s="661">
        <f t="shared" si="19"/>
        <v>0</v>
      </c>
      <c r="AI105" s="662" t="str">
        <f t="shared" si="20"/>
        <v/>
      </c>
    </row>
    <row r="106" spans="1:35" ht="14.25" customHeight="1">
      <c r="A106" s="657"/>
      <c r="B106" s="384" t="str">
        <f t="shared" si="16"/>
        <v/>
      </c>
      <c r="C106" s="384"/>
      <c r="D106" s="375"/>
      <c r="E106" s="375"/>
      <c r="F106" s="375"/>
      <c r="G106" s="381"/>
      <c r="H106" s="375"/>
      <c r="I106" s="375"/>
      <c r="J106" s="385"/>
      <c r="K106" s="385"/>
      <c r="L106" s="375" t="str">
        <f>IFERROR(VLOOKUP(CONCATENATE(J106,K106),'Risk matrix1'!$A$2:$C$26,2,FALSE),"")</f>
        <v/>
      </c>
      <c r="M106" s="375"/>
      <c r="N106" s="354"/>
      <c r="O106" s="375"/>
      <c r="P106" s="375"/>
      <c r="Q106" s="375"/>
      <c r="R106" s="375" t="str">
        <f>IFERROR(VLOOKUP(CONCATENATE(P107,Q107),'Risk matrix1'!$A$2:$C$26,2,FALSE),"")</f>
        <v/>
      </c>
      <c r="S106" s="375"/>
      <c r="T106" s="375"/>
      <c r="U106" s="375"/>
      <c r="V106" s="691"/>
      <c r="W106" s="691"/>
      <c r="X106" s="692"/>
      <c r="Y106" s="381"/>
      <c r="Z106" s="381"/>
      <c r="AA106" s="392"/>
      <c r="AB106" s="661"/>
      <c r="AC106" s="657"/>
      <c r="AD106" s="661">
        <f t="shared" si="17"/>
        <v>0</v>
      </c>
      <c r="AE106" s="661"/>
      <c r="AF106" s="657"/>
      <c r="AG106" s="661">
        <f t="shared" si="18"/>
        <v>0</v>
      </c>
      <c r="AH106" s="661">
        <f t="shared" si="19"/>
        <v>0</v>
      </c>
      <c r="AI106" s="662" t="str">
        <f t="shared" si="20"/>
        <v/>
      </c>
    </row>
    <row r="107" spans="1:35" ht="14.25" customHeight="1">
      <c r="A107" s="657"/>
      <c r="B107" s="384" t="str">
        <f t="shared" si="16"/>
        <v/>
      </c>
      <c r="C107" s="384"/>
      <c r="D107" s="375"/>
      <c r="E107" s="375"/>
      <c r="F107" s="375"/>
      <c r="G107" s="381"/>
      <c r="H107" s="375"/>
      <c r="I107" s="375"/>
      <c r="J107" s="385"/>
      <c r="K107" s="385"/>
      <c r="L107" s="375" t="str">
        <f>IFERROR(VLOOKUP(CONCATENATE(J107,K107),'Risk matrix1'!$A$2:$C$26,2,FALSE),"")</f>
        <v/>
      </c>
      <c r="M107" s="375"/>
      <c r="N107" s="354"/>
      <c r="O107" s="375"/>
      <c r="P107" s="375"/>
      <c r="Q107" s="375"/>
      <c r="R107" s="375" t="str">
        <f>IFERROR(VLOOKUP(CONCATENATE(P108,Q108),'Risk matrix1'!$A$2:$C$26,2,FALSE),"")</f>
        <v/>
      </c>
      <c r="S107" s="375"/>
      <c r="T107" s="375"/>
      <c r="U107" s="375"/>
      <c r="V107" s="691"/>
      <c r="W107" s="691"/>
      <c r="X107" s="692"/>
      <c r="Y107" s="381"/>
      <c r="Z107" s="381"/>
      <c r="AA107" s="392"/>
      <c r="AB107" s="661"/>
      <c r="AC107" s="657"/>
      <c r="AD107" s="661">
        <f t="shared" si="17"/>
        <v>0</v>
      </c>
      <c r="AE107" s="661"/>
      <c r="AF107" s="657"/>
      <c r="AG107" s="661">
        <f t="shared" si="18"/>
        <v>0</v>
      </c>
      <c r="AH107" s="661">
        <f t="shared" si="19"/>
        <v>0</v>
      </c>
      <c r="AI107" s="662" t="str">
        <f t="shared" si="20"/>
        <v/>
      </c>
    </row>
    <row r="108" spans="1:35" ht="14.25" customHeight="1">
      <c r="A108" s="657"/>
      <c r="B108" s="384" t="str">
        <f t="shared" si="16"/>
        <v/>
      </c>
      <c r="C108" s="384"/>
      <c r="D108" s="375"/>
      <c r="E108" s="375"/>
      <c r="F108" s="375"/>
      <c r="G108" s="381"/>
      <c r="H108" s="375"/>
      <c r="I108" s="375"/>
      <c r="J108" s="385"/>
      <c r="K108" s="385"/>
      <c r="L108" s="375" t="str">
        <f>IFERROR(VLOOKUP(CONCATENATE(J108,K108),'Risk matrix1'!$A$2:$C$26,2,FALSE),"")</f>
        <v/>
      </c>
      <c r="M108" s="375"/>
      <c r="N108" s="354"/>
      <c r="O108" s="375"/>
      <c r="P108" s="375"/>
      <c r="Q108" s="375"/>
      <c r="R108" s="375" t="str">
        <f>IFERROR(VLOOKUP(CONCATENATE(P109,Q109),'Risk matrix1'!$A$2:$C$26,2,FALSE),"")</f>
        <v/>
      </c>
      <c r="S108" s="375"/>
      <c r="T108" s="375"/>
      <c r="U108" s="375"/>
      <c r="V108" s="691"/>
      <c r="W108" s="691"/>
      <c r="X108" s="692"/>
      <c r="Y108" s="381"/>
      <c r="Z108" s="381"/>
      <c r="AA108" s="392"/>
      <c r="AB108" s="661"/>
      <c r="AC108" s="657"/>
      <c r="AD108" s="661">
        <f t="shared" si="17"/>
        <v>0</v>
      </c>
      <c r="AE108" s="661"/>
      <c r="AF108" s="657"/>
      <c r="AG108" s="661">
        <f t="shared" si="18"/>
        <v>0</v>
      </c>
      <c r="AH108" s="661">
        <f t="shared" si="19"/>
        <v>0</v>
      </c>
      <c r="AI108" s="662" t="str">
        <f t="shared" si="20"/>
        <v/>
      </c>
    </row>
    <row r="109" spans="1:35" ht="14.25" customHeight="1">
      <c r="A109" s="657"/>
      <c r="B109" s="384" t="str">
        <f t="shared" si="16"/>
        <v/>
      </c>
      <c r="C109" s="384"/>
      <c r="D109" s="375"/>
      <c r="E109" s="375"/>
      <c r="F109" s="375"/>
      <c r="G109" s="381"/>
      <c r="H109" s="375"/>
      <c r="I109" s="375"/>
      <c r="J109" s="385"/>
      <c r="K109" s="385"/>
      <c r="L109" s="375" t="str">
        <f>IFERROR(VLOOKUP(CONCATENATE(J109,K109),'Risk matrix1'!$A$2:$C$26,2,FALSE),"")</f>
        <v/>
      </c>
      <c r="M109" s="375"/>
      <c r="N109" s="354"/>
      <c r="O109" s="375"/>
      <c r="P109" s="375"/>
      <c r="Q109" s="375"/>
      <c r="R109" s="375" t="str">
        <f>IFERROR(VLOOKUP(CONCATENATE(P110,Q110),'Risk matrix1'!$A$2:$C$26,2,FALSE),"")</f>
        <v/>
      </c>
      <c r="S109" s="375"/>
      <c r="T109" s="375"/>
      <c r="U109" s="375"/>
      <c r="V109" s="691"/>
      <c r="W109" s="691"/>
      <c r="X109" s="692"/>
      <c r="Y109" s="381"/>
      <c r="Z109" s="381"/>
      <c r="AA109" s="392"/>
      <c r="AB109" s="661"/>
      <c r="AC109" s="657"/>
      <c r="AD109" s="661">
        <f t="shared" si="17"/>
        <v>0</v>
      </c>
      <c r="AE109" s="661"/>
      <c r="AF109" s="657"/>
      <c r="AG109" s="661">
        <f t="shared" si="18"/>
        <v>0</v>
      </c>
      <c r="AH109" s="661">
        <f t="shared" si="19"/>
        <v>0</v>
      </c>
      <c r="AI109" s="662" t="str">
        <f t="shared" si="20"/>
        <v/>
      </c>
    </row>
    <row r="110" spans="1:35" ht="14.25" customHeight="1">
      <c r="A110" s="657"/>
      <c r="B110" s="384" t="str">
        <f t="shared" si="16"/>
        <v/>
      </c>
      <c r="C110" s="384"/>
      <c r="D110" s="375"/>
      <c r="E110" s="375"/>
      <c r="F110" s="375"/>
      <c r="G110" s="381"/>
      <c r="H110" s="375"/>
      <c r="I110" s="375"/>
      <c r="J110" s="385"/>
      <c r="K110" s="385"/>
      <c r="L110" s="375" t="str">
        <f>IFERROR(VLOOKUP(CONCATENATE(J110,K110),'Risk matrix1'!$A$2:$C$26,2,FALSE),"")</f>
        <v/>
      </c>
      <c r="M110" s="375"/>
      <c r="N110" s="354"/>
      <c r="O110" s="375"/>
      <c r="P110" s="375"/>
      <c r="Q110" s="375"/>
      <c r="R110" s="375" t="str">
        <f>IFERROR(VLOOKUP(CONCATENATE(P111,Q111),'Risk matrix1'!$A$2:$C$26,2,FALSE),"")</f>
        <v/>
      </c>
      <c r="S110" s="375"/>
      <c r="T110" s="375"/>
      <c r="U110" s="375"/>
      <c r="V110" s="691"/>
      <c r="W110" s="691"/>
      <c r="X110" s="692"/>
      <c r="Y110" s="381"/>
      <c r="Z110" s="381"/>
      <c r="AA110" s="392"/>
      <c r="AB110" s="661"/>
      <c r="AC110" s="657"/>
      <c r="AD110" s="661">
        <f t="shared" si="17"/>
        <v>0</v>
      </c>
      <c r="AE110" s="661"/>
      <c r="AF110" s="657"/>
      <c r="AG110" s="661">
        <f t="shared" si="18"/>
        <v>0</v>
      </c>
      <c r="AH110" s="661">
        <f t="shared" si="19"/>
        <v>0</v>
      </c>
      <c r="AI110" s="662" t="str">
        <f t="shared" si="20"/>
        <v/>
      </c>
    </row>
    <row r="111" spans="1:35" ht="14.25" customHeight="1">
      <c r="A111" s="397"/>
      <c r="B111" s="663"/>
    </row>
  </sheetData>
  <mergeCells count="4">
    <mergeCell ref="B2:H2"/>
    <mergeCell ref="B3:H3"/>
    <mergeCell ref="B4:H4"/>
    <mergeCell ref="B5:H5"/>
  </mergeCells>
  <conditionalFormatting sqref="G8:G15 G25:G30 G33:G40 G17:G23">
    <cfRule type="colorScale" priority="71">
      <colorScale>
        <cfvo type="min"/>
        <cfvo type="max"/>
        <color rgb="FFFF7128"/>
        <color rgb="FFFFEF9C"/>
      </colorScale>
    </cfRule>
  </conditionalFormatting>
  <conditionalFormatting sqref="N73 N8:N43 N45:N60 N75:N110 L8:L110">
    <cfRule type="containsText" dxfId="423" priority="66" operator="containsText" text="Negligible">
      <formula>NOT(ISERROR(SEARCH("Negligible",L8)))</formula>
    </cfRule>
    <cfRule type="containsText" dxfId="422" priority="67" operator="containsText" text="Minor">
      <formula>NOT(ISERROR(SEARCH("Minor",L8)))</formula>
    </cfRule>
    <cfRule type="containsText" dxfId="421" priority="68" operator="containsText" text="Moderate">
      <formula>NOT(ISERROR(SEARCH("Moderate",L8)))</formula>
    </cfRule>
    <cfRule type="containsText" dxfId="420" priority="69" operator="containsText" text="Major">
      <formula>NOT(ISERROR(SEARCH("Major",L8)))</formula>
    </cfRule>
    <cfRule type="containsText" dxfId="419" priority="70" operator="containsText" text="Severe">
      <formula>NOT(ISERROR(SEARCH("Severe",L8)))</formula>
    </cfRule>
  </conditionalFormatting>
  <conditionalFormatting sqref="S41:T43 S45:T110 R41:R110 R8:T40">
    <cfRule type="containsText" dxfId="418" priority="61" operator="containsText" text="Insignificant">
      <formula>NOT(ISERROR(SEARCH("Insignificant",R8)))</formula>
    </cfRule>
    <cfRule type="containsText" dxfId="417" priority="62" operator="containsText" text="Minor">
      <formula>NOT(ISERROR(SEARCH("Minor",R8)))</formula>
    </cfRule>
    <cfRule type="containsText" dxfId="416" priority="63" operator="containsText" text="Moderate">
      <formula>NOT(ISERROR(SEARCH("Moderate",R8)))</formula>
    </cfRule>
    <cfRule type="containsText" dxfId="415" priority="64" operator="containsText" text="Major">
      <formula>NOT(ISERROR(SEARCH("Major",R8)))</formula>
    </cfRule>
    <cfRule type="containsText" dxfId="414" priority="65" operator="containsText" text="Severe">
      <formula>NOT(ISERROR(SEARCH("Severe",R8)))</formula>
    </cfRule>
  </conditionalFormatting>
  <conditionalFormatting sqref="N44">
    <cfRule type="containsText" dxfId="413" priority="56" operator="containsText" text="Negligible">
      <formula>NOT(ISERROR(SEARCH("Negligible",N44)))</formula>
    </cfRule>
    <cfRule type="containsText" dxfId="412" priority="57" operator="containsText" text="Minor">
      <formula>NOT(ISERROR(SEARCH("Minor",N44)))</formula>
    </cfRule>
    <cfRule type="containsText" dxfId="411" priority="58" operator="containsText" text="Moderate">
      <formula>NOT(ISERROR(SEARCH("Moderate",N44)))</formula>
    </cfRule>
    <cfRule type="containsText" dxfId="410" priority="59" operator="containsText" text="Major">
      <formula>NOT(ISERROR(SEARCH("Major",N44)))</formula>
    </cfRule>
    <cfRule type="containsText" dxfId="409" priority="60" operator="containsText" text="Severe">
      <formula>NOT(ISERROR(SEARCH("Severe",N44)))</formula>
    </cfRule>
  </conditionalFormatting>
  <conditionalFormatting sqref="S44:T44">
    <cfRule type="containsText" dxfId="408" priority="51" operator="containsText" text="Insignificant">
      <formula>NOT(ISERROR(SEARCH("Insignificant",S44)))</formula>
    </cfRule>
    <cfRule type="containsText" dxfId="407" priority="52" operator="containsText" text="Minor">
      <formula>NOT(ISERROR(SEARCH("Minor",S44)))</formula>
    </cfRule>
    <cfRule type="containsText" dxfId="406" priority="53" operator="containsText" text="Moderate">
      <formula>NOT(ISERROR(SEARCH("Moderate",S44)))</formula>
    </cfRule>
    <cfRule type="containsText" dxfId="405" priority="54" operator="containsText" text="Major">
      <formula>NOT(ISERROR(SEARCH("Major",S44)))</formula>
    </cfRule>
    <cfRule type="containsText" dxfId="404" priority="55" operator="containsText" text="Severe">
      <formula>NOT(ISERROR(SEARCH("Severe",S44)))</formula>
    </cfRule>
  </conditionalFormatting>
  <conditionalFormatting sqref="N61">
    <cfRule type="containsText" dxfId="403" priority="46" operator="containsText" text="Negligible">
      <formula>NOT(ISERROR(SEARCH("Negligible",N61)))</formula>
    </cfRule>
    <cfRule type="containsText" dxfId="402" priority="47" operator="containsText" text="Minor">
      <formula>NOT(ISERROR(SEARCH("Minor",N61)))</formula>
    </cfRule>
    <cfRule type="containsText" dxfId="401" priority="48" operator="containsText" text="Moderate">
      <formula>NOT(ISERROR(SEARCH("Moderate",N61)))</formula>
    </cfRule>
    <cfRule type="containsText" dxfId="400" priority="49" operator="containsText" text="Major">
      <formula>NOT(ISERROR(SEARCH("Major",N61)))</formula>
    </cfRule>
    <cfRule type="containsText" dxfId="399" priority="50" operator="containsText" text="Severe">
      <formula>NOT(ISERROR(SEARCH("Severe",N61)))</formula>
    </cfRule>
  </conditionalFormatting>
  <conditionalFormatting sqref="N62">
    <cfRule type="containsText" dxfId="398" priority="41" operator="containsText" text="Negligible">
      <formula>NOT(ISERROR(SEARCH("Negligible",N62)))</formula>
    </cfRule>
    <cfRule type="containsText" dxfId="397" priority="42" operator="containsText" text="Minor">
      <formula>NOT(ISERROR(SEARCH("Minor",N62)))</formula>
    </cfRule>
    <cfRule type="containsText" dxfId="396" priority="43" operator="containsText" text="Moderate">
      <formula>NOT(ISERROR(SEARCH("Moderate",N62)))</formula>
    </cfRule>
    <cfRule type="containsText" dxfId="395" priority="44" operator="containsText" text="Major">
      <formula>NOT(ISERROR(SEARCH("Major",N62)))</formula>
    </cfRule>
    <cfRule type="containsText" dxfId="394" priority="45" operator="containsText" text="Severe">
      <formula>NOT(ISERROR(SEARCH("Severe",N62)))</formula>
    </cfRule>
  </conditionalFormatting>
  <conditionalFormatting sqref="N63">
    <cfRule type="containsText" dxfId="393" priority="36" operator="containsText" text="Negligible">
      <formula>NOT(ISERROR(SEARCH("Negligible",N63)))</formula>
    </cfRule>
    <cfRule type="containsText" dxfId="392" priority="37" operator="containsText" text="Minor">
      <formula>NOT(ISERROR(SEARCH("Minor",N63)))</formula>
    </cfRule>
    <cfRule type="containsText" dxfId="391" priority="38" operator="containsText" text="Moderate">
      <formula>NOT(ISERROR(SEARCH("Moderate",N63)))</formula>
    </cfRule>
    <cfRule type="containsText" dxfId="390" priority="39" operator="containsText" text="Major">
      <formula>NOT(ISERROR(SEARCH("Major",N63)))</formula>
    </cfRule>
    <cfRule type="containsText" dxfId="389" priority="40" operator="containsText" text="Severe">
      <formula>NOT(ISERROR(SEARCH("Severe",N63)))</formula>
    </cfRule>
  </conditionalFormatting>
  <conditionalFormatting sqref="N64">
    <cfRule type="containsText" dxfId="388" priority="31" operator="containsText" text="Negligible">
      <formula>NOT(ISERROR(SEARCH("Negligible",N64)))</formula>
    </cfRule>
    <cfRule type="containsText" dxfId="387" priority="32" operator="containsText" text="Minor">
      <formula>NOT(ISERROR(SEARCH("Minor",N64)))</formula>
    </cfRule>
    <cfRule type="containsText" dxfId="386" priority="33" operator="containsText" text="Moderate">
      <formula>NOT(ISERROR(SEARCH("Moderate",N64)))</formula>
    </cfRule>
    <cfRule type="containsText" dxfId="385" priority="34" operator="containsText" text="Major">
      <formula>NOT(ISERROR(SEARCH("Major",N64)))</formula>
    </cfRule>
    <cfRule type="containsText" dxfId="384" priority="35" operator="containsText" text="Severe">
      <formula>NOT(ISERROR(SEARCH("Severe",N64)))</formula>
    </cfRule>
  </conditionalFormatting>
  <conditionalFormatting sqref="N65">
    <cfRule type="containsText" dxfId="383" priority="26" operator="containsText" text="Negligible">
      <formula>NOT(ISERROR(SEARCH("Negligible",N65)))</formula>
    </cfRule>
    <cfRule type="containsText" dxfId="382" priority="27" operator="containsText" text="Minor">
      <formula>NOT(ISERROR(SEARCH("Minor",N65)))</formula>
    </cfRule>
    <cfRule type="containsText" dxfId="381" priority="28" operator="containsText" text="Moderate">
      <formula>NOT(ISERROR(SEARCH("Moderate",N65)))</formula>
    </cfRule>
    <cfRule type="containsText" dxfId="380" priority="29" operator="containsText" text="Major">
      <formula>NOT(ISERROR(SEARCH("Major",N65)))</formula>
    </cfRule>
    <cfRule type="containsText" dxfId="379" priority="30" operator="containsText" text="Severe">
      <formula>NOT(ISERROR(SEARCH("Severe",N65)))</formula>
    </cfRule>
  </conditionalFormatting>
  <conditionalFormatting sqref="N66:N69">
    <cfRule type="containsText" dxfId="378" priority="21" operator="containsText" text="Negligible">
      <formula>NOT(ISERROR(SEARCH("Negligible",N66)))</formula>
    </cfRule>
    <cfRule type="containsText" dxfId="377" priority="22" operator="containsText" text="Minor">
      <formula>NOT(ISERROR(SEARCH("Minor",N66)))</formula>
    </cfRule>
    <cfRule type="containsText" dxfId="376" priority="23" operator="containsText" text="Moderate">
      <formula>NOT(ISERROR(SEARCH("Moderate",N66)))</formula>
    </cfRule>
    <cfRule type="containsText" dxfId="375" priority="24" operator="containsText" text="Major">
      <formula>NOT(ISERROR(SEARCH("Major",N66)))</formula>
    </cfRule>
    <cfRule type="containsText" dxfId="374" priority="25" operator="containsText" text="Severe">
      <formula>NOT(ISERROR(SEARCH("Severe",N66)))</formula>
    </cfRule>
  </conditionalFormatting>
  <conditionalFormatting sqref="N70">
    <cfRule type="containsText" dxfId="373" priority="16" operator="containsText" text="Negligible">
      <formula>NOT(ISERROR(SEARCH("Negligible",N70)))</formula>
    </cfRule>
    <cfRule type="containsText" dxfId="372" priority="17" operator="containsText" text="Minor">
      <formula>NOT(ISERROR(SEARCH("Minor",N70)))</formula>
    </cfRule>
    <cfRule type="containsText" dxfId="371" priority="18" operator="containsText" text="Moderate">
      <formula>NOT(ISERROR(SEARCH("Moderate",N70)))</formula>
    </cfRule>
    <cfRule type="containsText" dxfId="370" priority="19" operator="containsText" text="Major">
      <formula>NOT(ISERROR(SEARCH("Major",N70)))</formula>
    </cfRule>
    <cfRule type="containsText" dxfId="369" priority="20" operator="containsText" text="Severe">
      <formula>NOT(ISERROR(SEARCH("Severe",N70)))</formula>
    </cfRule>
  </conditionalFormatting>
  <conditionalFormatting sqref="N71:N72">
    <cfRule type="containsText" dxfId="368" priority="11" operator="containsText" text="Negligible">
      <formula>NOT(ISERROR(SEARCH("Negligible",N71)))</formula>
    </cfRule>
    <cfRule type="containsText" dxfId="367" priority="12" operator="containsText" text="Minor">
      <formula>NOT(ISERROR(SEARCH("Minor",N71)))</formula>
    </cfRule>
    <cfRule type="containsText" dxfId="366" priority="13" operator="containsText" text="Moderate">
      <formula>NOT(ISERROR(SEARCH("Moderate",N71)))</formula>
    </cfRule>
    <cfRule type="containsText" dxfId="365" priority="14" operator="containsText" text="Major">
      <formula>NOT(ISERROR(SEARCH("Major",N71)))</formula>
    </cfRule>
    <cfRule type="containsText" dxfId="364" priority="15" operator="containsText" text="Severe">
      <formula>NOT(ISERROR(SEARCH("Severe",N71)))</formula>
    </cfRule>
  </conditionalFormatting>
  <conditionalFormatting sqref="N74">
    <cfRule type="containsText" dxfId="363" priority="6" operator="containsText" text="Negligible">
      <formula>NOT(ISERROR(SEARCH("Negligible",N74)))</formula>
    </cfRule>
    <cfRule type="containsText" dxfId="362" priority="7" operator="containsText" text="Minor">
      <formula>NOT(ISERROR(SEARCH("Minor",N74)))</formula>
    </cfRule>
    <cfRule type="containsText" dxfId="361" priority="8" operator="containsText" text="Moderate">
      <formula>NOT(ISERROR(SEARCH("Moderate",N74)))</formula>
    </cfRule>
    <cfRule type="containsText" dxfId="360" priority="9" operator="containsText" text="Major">
      <formula>NOT(ISERROR(SEARCH("Major",N74)))</formula>
    </cfRule>
    <cfRule type="containsText" dxfId="359" priority="10" operator="containsText" text="Severe">
      <formula>NOT(ISERROR(SEARCH("Severe",N74)))</formula>
    </cfRule>
  </conditionalFormatting>
  <conditionalFormatting sqref="M8:M110">
    <cfRule type="containsText" dxfId="358" priority="1" operator="containsText" text="Insignificant">
      <formula>NOT(ISERROR(SEARCH("Insignificant",M8)))</formula>
    </cfRule>
    <cfRule type="containsText" dxfId="357" priority="2" operator="containsText" text="Minor">
      <formula>NOT(ISERROR(SEARCH("Minor",M8)))</formula>
    </cfRule>
    <cfRule type="containsText" dxfId="356" priority="3" operator="containsText" text="Moderate">
      <formula>NOT(ISERROR(SEARCH("Moderate",M8)))</formula>
    </cfRule>
    <cfRule type="containsText" dxfId="355" priority="4" operator="containsText" text="Major">
      <formula>NOT(ISERROR(SEARCH("Major",M8)))</formula>
    </cfRule>
    <cfRule type="containsText" dxfId="354" priority="5" operator="containsText" text="Severe">
      <formula>NOT(ISERROR(SEARCH("Severe",M8)))</formula>
    </cfRule>
  </conditionalFormatting>
  <dataValidations count="2">
    <dataValidation type="list" allowBlank="1" showInputMessage="1" showErrorMessage="1" sqref="L5:N5 R5:T5" xr:uid="{22A7ACAF-DCDD-4943-82DD-33516F545D7E}">
      <formula1>#REF!</formula1>
    </dataValidation>
    <dataValidation type="list" allowBlank="1" showInputMessage="1" sqref="O88 O38:O39 O21:O34 O19 O13:O16 O10:O11 O41:O42 O8" xr:uid="{38716544-FB15-4FCC-B3F4-C6B686BC0B42}">
      <formula1>$A$4:$A$15</formula1>
    </dataValidation>
  </dataValidations>
  <pageMargins left="0.70866141732283472" right="0.70866141732283472" top="0.74803149606299213" bottom="0.74803149606299213" header="0.31496062992125984" footer="0.31496062992125984"/>
  <pageSetup paperSize="8" scale="54" fitToHeight="0" orientation="landscape" r:id="rId1"/>
  <legacyDrawing r:id="rId2"/>
  <tableParts count="1">
    <tablePart r:id="rId3"/>
  </tableParts>
  <extLst>
    <ext xmlns:x14="http://schemas.microsoft.com/office/spreadsheetml/2009/9/main" uri="{CCE6A557-97BC-4b89-ADB6-D9C93CAAB3DF}">
      <x14:dataValidations xmlns:xm="http://schemas.microsoft.com/office/excel/2006/main" count="7">
        <x14:dataValidation type="list" allowBlank="1" showInputMessage="1" showErrorMessage="1" xr:uid="{ACCD4A94-9B09-4C06-8622-D083F8F1AB55}">
          <x14:formula1>
            <xm:f>'KRI_KPI Overview'!$A$6:$A$15</xm:f>
          </x14:formula1>
          <xm:sqref>D8:D110</xm:sqref>
        </x14:dataValidation>
        <x14:dataValidation type="list" allowBlank="1" showInputMessage="1" showErrorMessage="1" xr:uid="{83D58D19-7A94-46F1-888A-6895D961DC58}">
          <x14:formula1>
            <xm:f>'RAD data'!$E$4:$E$7</xm:f>
          </x14:formula1>
          <xm:sqref>M8:M110</xm:sqref>
        </x14:dataValidation>
        <x14:dataValidation type="list" allowBlank="1" showInputMessage="1" xr:uid="{14447275-6562-443F-8CFF-386658C96DD3}">
          <x14:formula1>
            <xm:f>'RAD data'!$B$4:$B$10</xm:f>
          </x14:formula1>
          <xm:sqref>O9 O12 O17:O18 O20 O35:O37 O40 O53:O54 O61 O63:O65 O67 O70:O74 O80 O82 O84</xm:sqref>
        </x14:dataValidation>
        <x14:dataValidation type="list" allowBlank="1" showInputMessage="1" showErrorMessage="1" xr:uid="{42CBE4D6-B83A-42AE-9F8B-373C10C9D138}">
          <x14:formula1>
            <xm:f>'RAD data'!$C$4:$C$8</xm:f>
          </x14:formula1>
          <xm:sqref>Q12:Q110 P8:P110 J9:J110</xm:sqref>
        </x14:dataValidation>
        <x14:dataValidation type="list" allowBlank="1" showInputMessage="1" showErrorMessage="1" xr:uid="{FE3BBB12-104C-4845-A148-4C8B566A675F}">
          <x14:formula1>
            <xm:f>'RAD data'!$D$4:$D$8</xm:f>
          </x14:formula1>
          <xm:sqref>Q8:Q11 K9:K110</xm:sqref>
        </x14:dataValidation>
        <x14:dataValidation type="list" allowBlank="1" showInputMessage="1" showErrorMessage="1" xr:uid="{DF55A149-C651-488C-BB69-007BC228D2AD}">
          <x14:formula1>
            <xm:f>'RAD data'!$F$4:$F$6</xm:f>
          </x14:formula1>
          <xm:sqref>T9 T12 T17:T18 T20 T35:T110</xm:sqref>
        </x14:dataValidation>
        <x14:dataValidation type="list" allowBlank="1" showInputMessage="1" showErrorMessage="1" xr:uid="{6A066D55-F274-47C5-9D05-ECD7C2B14758}">
          <x14:formula1>
            <xm:f>'RAD data'!$G$4:$G$8</xm:f>
          </x14:formula1>
          <xm:sqref>U9:U110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FADC2-FA69-4DAF-ADB2-CF0B010CC21F}">
  <sheetPr codeName="Sheet26">
    <tabColor rgb="FFFFFFCC"/>
    <pageSetUpPr fitToPage="1"/>
  </sheetPr>
  <dimension ref="A1:Z107"/>
  <sheetViews>
    <sheetView zoomScale="70" zoomScaleNormal="70" workbookViewId="0">
      <pane xSplit="6" ySplit="7" topLeftCell="G11" activePane="bottomRight" state="frozen"/>
      <selection pane="topRight" activeCell="G1" sqref="G1"/>
      <selection pane="bottomLeft" activeCell="A8" sqref="A8"/>
      <selection pane="bottomRight" activeCell="M11" sqref="M11"/>
    </sheetView>
  </sheetViews>
  <sheetFormatPr defaultColWidth="9.33203125" defaultRowHeight="14.25" customHeight="1" outlineLevelCol="1"/>
  <cols>
    <col min="1" max="1" width="4.109375" style="57" customWidth="1"/>
    <col min="2" max="2" width="17.109375" style="57" bestFit="1" customWidth="1"/>
    <col min="3" max="4" width="21.6640625" style="57" customWidth="1"/>
    <col min="5" max="5" width="18.109375" style="57" customWidth="1"/>
    <col min="6" max="6" width="52.6640625" style="57" customWidth="1"/>
    <col min="7" max="7" width="31" style="57" customWidth="1"/>
    <col min="8" max="8" width="22.6640625" style="57" customWidth="1"/>
    <col min="9" max="9" width="16" style="57" customWidth="1" outlineLevel="1"/>
    <col min="10" max="10" width="17.6640625" style="57" customWidth="1" outlineLevel="1"/>
    <col min="11" max="11" width="15.6640625" style="57" customWidth="1"/>
    <col min="12" max="12" width="60.33203125" style="57" customWidth="1"/>
    <col min="13" max="13" width="20" style="57" customWidth="1"/>
    <col min="14" max="14" width="52.88671875" style="57" customWidth="1"/>
    <col min="15" max="15" width="19.88671875" style="57" customWidth="1"/>
    <col min="16" max="16" width="18.6640625" style="57" customWidth="1"/>
    <col min="17" max="17" width="19.5546875" style="57" bestFit="1" customWidth="1"/>
    <col min="18" max="18" width="11.33203125" style="67" hidden="1" customWidth="1"/>
    <col min="19" max="19" width="26.109375" style="57" customWidth="1"/>
    <col min="20" max="264" width="9.33203125" style="57"/>
    <col min="265" max="265" width="15.6640625" style="57" customWidth="1"/>
    <col min="266" max="266" width="17" style="57" customWidth="1"/>
    <col min="267" max="267" width="59.33203125" style="57" customWidth="1"/>
    <col min="268" max="268" width="17.33203125" style="57" customWidth="1"/>
    <col min="269" max="269" width="15.5546875" style="57" customWidth="1"/>
    <col min="270" max="270" width="60.33203125" style="57" customWidth="1"/>
    <col min="271" max="271" width="12.44140625" style="57" customWidth="1"/>
    <col min="272" max="520" width="9.33203125" style="57"/>
    <col min="521" max="521" width="15.6640625" style="57" customWidth="1"/>
    <col min="522" max="522" width="17" style="57" customWidth="1"/>
    <col min="523" max="523" width="59.33203125" style="57" customWidth="1"/>
    <col min="524" max="524" width="17.33203125" style="57" customWidth="1"/>
    <col min="525" max="525" width="15.5546875" style="57" customWidth="1"/>
    <col min="526" max="526" width="60.33203125" style="57" customWidth="1"/>
    <col min="527" max="527" width="12.44140625" style="57" customWidth="1"/>
    <col min="528" max="776" width="9.33203125" style="57"/>
    <col min="777" max="777" width="15.6640625" style="57" customWidth="1"/>
    <col min="778" max="778" width="17" style="57" customWidth="1"/>
    <col min="779" max="779" width="59.33203125" style="57" customWidth="1"/>
    <col min="780" max="780" width="17.33203125" style="57" customWidth="1"/>
    <col min="781" max="781" width="15.5546875" style="57" customWidth="1"/>
    <col min="782" max="782" width="60.33203125" style="57" customWidth="1"/>
    <col min="783" max="783" width="12.44140625" style="57" customWidth="1"/>
    <col min="784" max="1032" width="9.33203125" style="57"/>
    <col min="1033" max="1033" width="15.6640625" style="57" customWidth="1"/>
    <col min="1034" max="1034" width="17" style="57" customWidth="1"/>
    <col min="1035" max="1035" width="59.33203125" style="57" customWidth="1"/>
    <col min="1036" max="1036" width="17.33203125" style="57" customWidth="1"/>
    <col min="1037" max="1037" width="15.5546875" style="57" customWidth="1"/>
    <col min="1038" max="1038" width="60.33203125" style="57" customWidth="1"/>
    <col min="1039" max="1039" width="12.44140625" style="57" customWidth="1"/>
    <col min="1040" max="1288" width="9.33203125" style="57"/>
    <col min="1289" max="1289" width="15.6640625" style="57" customWidth="1"/>
    <col min="1290" max="1290" width="17" style="57" customWidth="1"/>
    <col min="1291" max="1291" width="59.33203125" style="57" customWidth="1"/>
    <col min="1292" max="1292" width="17.33203125" style="57" customWidth="1"/>
    <col min="1293" max="1293" width="15.5546875" style="57" customWidth="1"/>
    <col min="1294" max="1294" width="60.33203125" style="57" customWidth="1"/>
    <col min="1295" max="1295" width="12.44140625" style="57" customWidth="1"/>
    <col min="1296" max="1544" width="9.33203125" style="57"/>
    <col min="1545" max="1545" width="15.6640625" style="57" customWidth="1"/>
    <col min="1546" max="1546" width="17" style="57" customWidth="1"/>
    <col min="1547" max="1547" width="59.33203125" style="57" customWidth="1"/>
    <col min="1548" max="1548" width="17.33203125" style="57" customWidth="1"/>
    <col min="1549" max="1549" width="15.5546875" style="57" customWidth="1"/>
    <col min="1550" max="1550" width="60.33203125" style="57" customWidth="1"/>
    <col min="1551" max="1551" width="12.44140625" style="57" customWidth="1"/>
    <col min="1552" max="1800" width="9.33203125" style="57"/>
    <col min="1801" max="1801" width="15.6640625" style="57" customWidth="1"/>
    <col min="1802" max="1802" width="17" style="57" customWidth="1"/>
    <col min="1803" max="1803" width="59.33203125" style="57" customWidth="1"/>
    <col min="1804" max="1804" width="17.33203125" style="57" customWidth="1"/>
    <col min="1805" max="1805" width="15.5546875" style="57" customWidth="1"/>
    <col min="1806" max="1806" width="60.33203125" style="57" customWidth="1"/>
    <col min="1807" max="1807" width="12.44140625" style="57" customWidth="1"/>
    <col min="1808" max="2056" width="9.33203125" style="57"/>
    <col min="2057" max="2057" width="15.6640625" style="57" customWidth="1"/>
    <col min="2058" max="2058" width="17" style="57" customWidth="1"/>
    <col min="2059" max="2059" width="59.33203125" style="57" customWidth="1"/>
    <col min="2060" max="2060" width="17.33203125" style="57" customWidth="1"/>
    <col min="2061" max="2061" width="15.5546875" style="57" customWidth="1"/>
    <col min="2062" max="2062" width="60.33203125" style="57" customWidth="1"/>
    <col min="2063" max="2063" width="12.44140625" style="57" customWidth="1"/>
    <col min="2064" max="2312" width="9.33203125" style="57"/>
    <col min="2313" max="2313" width="15.6640625" style="57" customWidth="1"/>
    <col min="2314" max="2314" width="17" style="57" customWidth="1"/>
    <col min="2315" max="2315" width="59.33203125" style="57" customWidth="1"/>
    <col min="2316" max="2316" width="17.33203125" style="57" customWidth="1"/>
    <col min="2317" max="2317" width="15.5546875" style="57" customWidth="1"/>
    <col min="2318" max="2318" width="60.33203125" style="57" customWidth="1"/>
    <col min="2319" max="2319" width="12.44140625" style="57" customWidth="1"/>
    <col min="2320" max="2568" width="9.33203125" style="57"/>
    <col min="2569" max="2569" width="15.6640625" style="57" customWidth="1"/>
    <col min="2570" max="2570" width="17" style="57" customWidth="1"/>
    <col min="2571" max="2571" width="59.33203125" style="57" customWidth="1"/>
    <col min="2572" max="2572" width="17.33203125" style="57" customWidth="1"/>
    <col min="2573" max="2573" width="15.5546875" style="57" customWidth="1"/>
    <col min="2574" max="2574" width="60.33203125" style="57" customWidth="1"/>
    <col min="2575" max="2575" width="12.44140625" style="57" customWidth="1"/>
    <col min="2576" max="2824" width="9.33203125" style="57"/>
    <col min="2825" max="2825" width="15.6640625" style="57" customWidth="1"/>
    <col min="2826" max="2826" width="17" style="57" customWidth="1"/>
    <col min="2827" max="2827" width="59.33203125" style="57" customWidth="1"/>
    <col min="2828" max="2828" width="17.33203125" style="57" customWidth="1"/>
    <col min="2829" max="2829" width="15.5546875" style="57" customWidth="1"/>
    <col min="2830" max="2830" width="60.33203125" style="57" customWidth="1"/>
    <col min="2831" max="2831" width="12.44140625" style="57" customWidth="1"/>
    <col min="2832" max="3080" width="9.33203125" style="57"/>
    <col min="3081" max="3081" width="15.6640625" style="57" customWidth="1"/>
    <col min="3082" max="3082" width="17" style="57" customWidth="1"/>
    <col min="3083" max="3083" width="59.33203125" style="57" customWidth="1"/>
    <col min="3084" max="3084" width="17.33203125" style="57" customWidth="1"/>
    <col min="3085" max="3085" width="15.5546875" style="57" customWidth="1"/>
    <col min="3086" max="3086" width="60.33203125" style="57" customWidth="1"/>
    <col min="3087" max="3087" width="12.44140625" style="57" customWidth="1"/>
    <col min="3088" max="3336" width="9.33203125" style="57"/>
    <col min="3337" max="3337" width="15.6640625" style="57" customWidth="1"/>
    <col min="3338" max="3338" width="17" style="57" customWidth="1"/>
    <col min="3339" max="3339" width="59.33203125" style="57" customWidth="1"/>
    <col min="3340" max="3340" width="17.33203125" style="57" customWidth="1"/>
    <col min="3341" max="3341" width="15.5546875" style="57" customWidth="1"/>
    <col min="3342" max="3342" width="60.33203125" style="57" customWidth="1"/>
    <col min="3343" max="3343" width="12.44140625" style="57" customWidth="1"/>
    <col min="3344" max="3592" width="9.33203125" style="57"/>
    <col min="3593" max="3593" width="15.6640625" style="57" customWidth="1"/>
    <col min="3594" max="3594" width="17" style="57" customWidth="1"/>
    <col min="3595" max="3595" width="59.33203125" style="57" customWidth="1"/>
    <col min="3596" max="3596" width="17.33203125" style="57" customWidth="1"/>
    <col min="3597" max="3597" width="15.5546875" style="57" customWidth="1"/>
    <col min="3598" max="3598" width="60.33203125" style="57" customWidth="1"/>
    <col min="3599" max="3599" width="12.44140625" style="57" customWidth="1"/>
    <col min="3600" max="3848" width="9.33203125" style="57"/>
    <col min="3849" max="3849" width="15.6640625" style="57" customWidth="1"/>
    <col min="3850" max="3850" width="17" style="57" customWidth="1"/>
    <col min="3851" max="3851" width="59.33203125" style="57" customWidth="1"/>
    <col min="3852" max="3852" width="17.33203125" style="57" customWidth="1"/>
    <col min="3853" max="3853" width="15.5546875" style="57" customWidth="1"/>
    <col min="3854" max="3854" width="60.33203125" style="57" customWidth="1"/>
    <col min="3855" max="3855" width="12.44140625" style="57" customWidth="1"/>
    <col min="3856" max="4104" width="9.33203125" style="57"/>
    <col min="4105" max="4105" width="15.6640625" style="57" customWidth="1"/>
    <col min="4106" max="4106" width="17" style="57" customWidth="1"/>
    <col min="4107" max="4107" width="59.33203125" style="57" customWidth="1"/>
    <col min="4108" max="4108" width="17.33203125" style="57" customWidth="1"/>
    <col min="4109" max="4109" width="15.5546875" style="57" customWidth="1"/>
    <col min="4110" max="4110" width="60.33203125" style="57" customWidth="1"/>
    <col min="4111" max="4111" width="12.44140625" style="57" customWidth="1"/>
    <col min="4112" max="4360" width="9.33203125" style="57"/>
    <col min="4361" max="4361" width="15.6640625" style="57" customWidth="1"/>
    <col min="4362" max="4362" width="17" style="57" customWidth="1"/>
    <col min="4363" max="4363" width="59.33203125" style="57" customWidth="1"/>
    <col min="4364" max="4364" width="17.33203125" style="57" customWidth="1"/>
    <col min="4365" max="4365" width="15.5546875" style="57" customWidth="1"/>
    <col min="4366" max="4366" width="60.33203125" style="57" customWidth="1"/>
    <col min="4367" max="4367" width="12.44140625" style="57" customWidth="1"/>
    <col min="4368" max="4616" width="9.33203125" style="57"/>
    <col min="4617" max="4617" width="15.6640625" style="57" customWidth="1"/>
    <col min="4618" max="4618" width="17" style="57" customWidth="1"/>
    <col min="4619" max="4619" width="59.33203125" style="57" customWidth="1"/>
    <col min="4620" max="4620" width="17.33203125" style="57" customWidth="1"/>
    <col min="4621" max="4621" width="15.5546875" style="57" customWidth="1"/>
    <col min="4622" max="4622" width="60.33203125" style="57" customWidth="1"/>
    <col min="4623" max="4623" width="12.44140625" style="57" customWidth="1"/>
    <col min="4624" max="4872" width="9.33203125" style="57"/>
    <col min="4873" max="4873" width="15.6640625" style="57" customWidth="1"/>
    <col min="4874" max="4874" width="17" style="57" customWidth="1"/>
    <col min="4875" max="4875" width="59.33203125" style="57" customWidth="1"/>
    <col min="4876" max="4876" width="17.33203125" style="57" customWidth="1"/>
    <col min="4877" max="4877" width="15.5546875" style="57" customWidth="1"/>
    <col min="4878" max="4878" width="60.33203125" style="57" customWidth="1"/>
    <col min="4879" max="4879" width="12.44140625" style="57" customWidth="1"/>
    <col min="4880" max="5128" width="9.33203125" style="57"/>
    <col min="5129" max="5129" width="15.6640625" style="57" customWidth="1"/>
    <col min="5130" max="5130" width="17" style="57" customWidth="1"/>
    <col min="5131" max="5131" width="59.33203125" style="57" customWidth="1"/>
    <col min="5132" max="5132" width="17.33203125" style="57" customWidth="1"/>
    <col min="5133" max="5133" width="15.5546875" style="57" customWidth="1"/>
    <col min="5134" max="5134" width="60.33203125" style="57" customWidth="1"/>
    <col min="5135" max="5135" width="12.44140625" style="57" customWidth="1"/>
    <col min="5136" max="5384" width="9.33203125" style="57"/>
    <col min="5385" max="5385" width="15.6640625" style="57" customWidth="1"/>
    <col min="5386" max="5386" width="17" style="57" customWidth="1"/>
    <col min="5387" max="5387" width="59.33203125" style="57" customWidth="1"/>
    <col min="5388" max="5388" width="17.33203125" style="57" customWidth="1"/>
    <col min="5389" max="5389" width="15.5546875" style="57" customWidth="1"/>
    <col min="5390" max="5390" width="60.33203125" style="57" customWidth="1"/>
    <col min="5391" max="5391" width="12.44140625" style="57" customWidth="1"/>
    <col min="5392" max="5640" width="9.33203125" style="57"/>
    <col min="5641" max="5641" width="15.6640625" style="57" customWidth="1"/>
    <col min="5642" max="5642" width="17" style="57" customWidth="1"/>
    <col min="5643" max="5643" width="59.33203125" style="57" customWidth="1"/>
    <col min="5644" max="5644" width="17.33203125" style="57" customWidth="1"/>
    <col min="5645" max="5645" width="15.5546875" style="57" customWidth="1"/>
    <col min="5646" max="5646" width="60.33203125" style="57" customWidth="1"/>
    <col min="5647" max="5647" width="12.44140625" style="57" customWidth="1"/>
    <col min="5648" max="5896" width="9.33203125" style="57"/>
    <col min="5897" max="5897" width="15.6640625" style="57" customWidth="1"/>
    <col min="5898" max="5898" width="17" style="57" customWidth="1"/>
    <col min="5899" max="5899" width="59.33203125" style="57" customWidth="1"/>
    <col min="5900" max="5900" width="17.33203125" style="57" customWidth="1"/>
    <col min="5901" max="5901" width="15.5546875" style="57" customWidth="1"/>
    <col min="5902" max="5902" width="60.33203125" style="57" customWidth="1"/>
    <col min="5903" max="5903" width="12.44140625" style="57" customWidth="1"/>
    <col min="5904" max="6152" width="9.33203125" style="57"/>
    <col min="6153" max="6153" width="15.6640625" style="57" customWidth="1"/>
    <col min="6154" max="6154" width="17" style="57" customWidth="1"/>
    <col min="6155" max="6155" width="59.33203125" style="57" customWidth="1"/>
    <col min="6156" max="6156" width="17.33203125" style="57" customWidth="1"/>
    <col min="6157" max="6157" width="15.5546875" style="57" customWidth="1"/>
    <col min="6158" max="6158" width="60.33203125" style="57" customWidth="1"/>
    <col min="6159" max="6159" width="12.44140625" style="57" customWidth="1"/>
    <col min="6160" max="6408" width="9.33203125" style="57"/>
    <col min="6409" max="6409" width="15.6640625" style="57" customWidth="1"/>
    <col min="6410" max="6410" width="17" style="57" customWidth="1"/>
    <col min="6411" max="6411" width="59.33203125" style="57" customWidth="1"/>
    <col min="6412" max="6412" width="17.33203125" style="57" customWidth="1"/>
    <col min="6413" max="6413" width="15.5546875" style="57" customWidth="1"/>
    <col min="6414" max="6414" width="60.33203125" style="57" customWidth="1"/>
    <col min="6415" max="6415" width="12.44140625" style="57" customWidth="1"/>
    <col min="6416" max="6664" width="9.33203125" style="57"/>
    <col min="6665" max="6665" width="15.6640625" style="57" customWidth="1"/>
    <col min="6666" max="6666" width="17" style="57" customWidth="1"/>
    <col min="6667" max="6667" width="59.33203125" style="57" customWidth="1"/>
    <col min="6668" max="6668" width="17.33203125" style="57" customWidth="1"/>
    <col min="6669" max="6669" width="15.5546875" style="57" customWidth="1"/>
    <col min="6670" max="6670" width="60.33203125" style="57" customWidth="1"/>
    <col min="6671" max="6671" width="12.44140625" style="57" customWidth="1"/>
    <col min="6672" max="6920" width="9.33203125" style="57"/>
    <col min="6921" max="6921" width="15.6640625" style="57" customWidth="1"/>
    <col min="6922" max="6922" width="17" style="57" customWidth="1"/>
    <col min="6923" max="6923" width="59.33203125" style="57" customWidth="1"/>
    <col min="6924" max="6924" width="17.33203125" style="57" customWidth="1"/>
    <col min="6925" max="6925" width="15.5546875" style="57" customWidth="1"/>
    <col min="6926" max="6926" width="60.33203125" style="57" customWidth="1"/>
    <col min="6927" max="6927" width="12.44140625" style="57" customWidth="1"/>
    <col min="6928" max="7176" width="9.33203125" style="57"/>
    <col min="7177" max="7177" width="15.6640625" style="57" customWidth="1"/>
    <col min="7178" max="7178" width="17" style="57" customWidth="1"/>
    <col min="7179" max="7179" width="59.33203125" style="57" customWidth="1"/>
    <col min="7180" max="7180" width="17.33203125" style="57" customWidth="1"/>
    <col min="7181" max="7181" width="15.5546875" style="57" customWidth="1"/>
    <col min="7182" max="7182" width="60.33203125" style="57" customWidth="1"/>
    <col min="7183" max="7183" width="12.44140625" style="57" customWidth="1"/>
    <col min="7184" max="7432" width="9.33203125" style="57"/>
    <col min="7433" max="7433" width="15.6640625" style="57" customWidth="1"/>
    <col min="7434" max="7434" width="17" style="57" customWidth="1"/>
    <col min="7435" max="7435" width="59.33203125" style="57" customWidth="1"/>
    <col min="7436" max="7436" width="17.33203125" style="57" customWidth="1"/>
    <col min="7437" max="7437" width="15.5546875" style="57" customWidth="1"/>
    <col min="7438" max="7438" width="60.33203125" style="57" customWidth="1"/>
    <col min="7439" max="7439" width="12.44140625" style="57" customWidth="1"/>
    <col min="7440" max="7688" width="9.33203125" style="57"/>
    <col min="7689" max="7689" width="15.6640625" style="57" customWidth="1"/>
    <col min="7690" max="7690" width="17" style="57" customWidth="1"/>
    <col min="7691" max="7691" width="59.33203125" style="57" customWidth="1"/>
    <col min="7692" max="7692" width="17.33203125" style="57" customWidth="1"/>
    <col min="7693" max="7693" width="15.5546875" style="57" customWidth="1"/>
    <col min="7694" max="7694" width="60.33203125" style="57" customWidth="1"/>
    <col min="7695" max="7695" width="12.44140625" style="57" customWidth="1"/>
    <col min="7696" max="7944" width="9.33203125" style="57"/>
    <col min="7945" max="7945" width="15.6640625" style="57" customWidth="1"/>
    <col min="7946" max="7946" width="17" style="57" customWidth="1"/>
    <col min="7947" max="7947" width="59.33203125" style="57" customWidth="1"/>
    <col min="7948" max="7948" width="17.33203125" style="57" customWidth="1"/>
    <col min="7949" max="7949" width="15.5546875" style="57" customWidth="1"/>
    <col min="7950" max="7950" width="60.33203125" style="57" customWidth="1"/>
    <col min="7951" max="7951" width="12.44140625" style="57" customWidth="1"/>
    <col min="7952" max="8200" width="9.33203125" style="57"/>
    <col min="8201" max="8201" width="15.6640625" style="57" customWidth="1"/>
    <col min="8202" max="8202" width="17" style="57" customWidth="1"/>
    <col min="8203" max="8203" width="59.33203125" style="57" customWidth="1"/>
    <col min="8204" max="8204" width="17.33203125" style="57" customWidth="1"/>
    <col min="8205" max="8205" width="15.5546875" style="57" customWidth="1"/>
    <col min="8206" max="8206" width="60.33203125" style="57" customWidth="1"/>
    <col min="8207" max="8207" width="12.44140625" style="57" customWidth="1"/>
    <col min="8208" max="8456" width="9.33203125" style="57"/>
    <col min="8457" max="8457" width="15.6640625" style="57" customWidth="1"/>
    <col min="8458" max="8458" width="17" style="57" customWidth="1"/>
    <col min="8459" max="8459" width="59.33203125" style="57" customWidth="1"/>
    <col min="8460" max="8460" width="17.33203125" style="57" customWidth="1"/>
    <col min="8461" max="8461" width="15.5546875" style="57" customWidth="1"/>
    <col min="8462" max="8462" width="60.33203125" style="57" customWidth="1"/>
    <col min="8463" max="8463" width="12.44140625" style="57" customWidth="1"/>
    <col min="8464" max="8712" width="9.33203125" style="57"/>
    <col min="8713" max="8713" width="15.6640625" style="57" customWidth="1"/>
    <col min="8714" max="8714" width="17" style="57" customWidth="1"/>
    <col min="8715" max="8715" width="59.33203125" style="57" customWidth="1"/>
    <col min="8716" max="8716" width="17.33203125" style="57" customWidth="1"/>
    <col min="8717" max="8717" width="15.5546875" style="57" customWidth="1"/>
    <col min="8718" max="8718" width="60.33203125" style="57" customWidth="1"/>
    <col min="8719" max="8719" width="12.44140625" style="57" customWidth="1"/>
    <col min="8720" max="8968" width="9.33203125" style="57"/>
    <col min="8969" max="8969" width="15.6640625" style="57" customWidth="1"/>
    <col min="8970" max="8970" width="17" style="57" customWidth="1"/>
    <col min="8971" max="8971" width="59.33203125" style="57" customWidth="1"/>
    <col min="8972" max="8972" width="17.33203125" style="57" customWidth="1"/>
    <col min="8973" max="8973" width="15.5546875" style="57" customWidth="1"/>
    <col min="8974" max="8974" width="60.33203125" style="57" customWidth="1"/>
    <col min="8975" max="8975" width="12.44140625" style="57" customWidth="1"/>
    <col min="8976" max="9224" width="9.33203125" style="57"/>
    <col min="9225" max="9225" width="15.6640625" style="57" customWidth="1"/>
    <col min="9226" max="9226" width="17" style="57" customWidth="1"/>
    <col min="9227" max="9227" width="59.33203125" style="57" customWidth="1"/>
    <col min="9228" max="9228" width="17.33203125" style="57" customWidth="1"/>
    <col min="9229" max="9229" width="15.5546875" style="57" customWidth="1"/>
    <col min="9230" max="9230" width="60.33203125" style="57" customWidth="1"/>
    <col min="9231" max="9231" width="12.44140625" style="57" customWidth="1"/>
    <col min="9232" max="9480" width="9.33203125" style="57"/>
    <col min="9481" max="9481" width="15.6640625" style="57" customWidth="1"/>
    <col min="9482" max="9482" width="17" style="57" customWidth="1"/>
    <col min="9483" max="9483" width="59.33203125" style="57" customWidth="1"/>
    <col min="9484" max="9484" width="17.33203125" style="57" customWidth="1"/>
    <col min="9485" max="9485" width="15.5546875" style="57" customWidth="1"/>
    <col min="9486" max="9486" width="60.33203125" style="57" customWidth="1"/>
    <col min="9487" max="9487" width="12.44140625" style="57" customWidth="1"/>
    <col min="9488" max="9736" width="9.33203125" style="57"/>
    <col min="9737" max="9737" width="15.6640625" style="57" customWidth="1"/>
    <col min="9738" max="9738" width="17" style="57" customWidth="1"/>
    <col min="9739" max="9739" width="59.33203125" style="57" customWidth="1"/>
    <col min="9740" max="9740" width="17.33203125" style="57" customWidth="1"/>
    <col min="9741" max="9741" width="15.5546875" style="57" customWidth="1"/>
    <col min="9742" max="9742" width="60.33203125" style="57" customWidth="1"/>
    <col min="9743" max="9743" width="12.44140625" style="57" customWidth="1"/>
    <col min="9744" max="9992" width="9.33203125" style="57"/>
    <col min="9993" max="9993" width="15.6640625" style="57" customWidth="1"/>
    <col min="9994" max="9994" width="17" style="57" customWidth="1"/>
    <col min="9995" max="9995" width="59.33203125" style="57" customWidth="1"/>
    <col min="9996" max="9996" width="17.33203125" style="57" customWidth="1"/>
    <col min="9997" max="9997" width="15.5546875" style="57" customWidth="1"/>
    <col min="9998" max="9998" width="60.33203125" style="57" customWidth="1"/>
    <col min="9999" max="9999" width="12.44140625" style="57" customWidth="1"/>
    <col min="10000" max="10248" width="9.33203125" style="57"/>
    <col min="10249" max="10249" width="15.6640625" style="57" customWidth="1"/>
    <col min="10250" max="10250" width="17" style="57" customWidth="1"/>
    <col min="10251" max="10251" width="59.33203125" style="57" customWidth="1"/>
    <col min="10252" max="10252" width="17.33203125" style="57" customWidth="1"/>
    <col min="10253" max="10253" width="15.5546875" style="57" customWidth="1"/>
    <col min="10254" max="10254" width="60.33203125" style="57" customWidth="1"/>
    <col min="10255" max="10255" width="12.44140625" style="57" customWidth="1"/>
    <col min="10256" max="10504" width="9.33203125" style="57"/>
    <col min="10505" max="10505" width="15.6640625" style="57" customWidth="1"/>
    <col min="10506" max="10506" width="17" style="57" customWidth="1"/>
    <col min="10507" max="10507" width="59.33203125" style="57" customWidth="1"/>
    <col min="10508" max="10508" width="17.33203125" style="57" customWidth="1"/>
    <col min="10509" max="10509" width="15.5546875" style="57" customWidth="1"/>
    <col min="10510" max="10510" width="60.33203125" style="57" customWidth="1"/>
    <col min="10511" max="10511" width="12.44140625" style="57" customWidth="1"/>
    <col min="10512" max="10760" width="9.33203125" style="57"/>
    <col min="10761" max="10761" width="15.6640625" style="57" customWidth="1"/>
    <col min="10762" max="10762" width="17" style="57" customWidth="1"/>
    <col min="10763" max="10763" width="59.33203125" style="57" customWidth="1"/>
    <col min="10764" max="10764" width="17.33203125" style="57" customWidth="1"/>
    <col min="10765" max="10765" width="15.5546875" style="57" customWidth="1"/>
    <col min="10766" max="10766" width="60.33203125" style="57" customWidth="1"/>
    <col min="10767" max="10767" width="12.44140625" style="57" customWidth="1"/>
    <col min="10768" max="11016" width="9.33203125" style="57"/>
    <col min="11017" max="11017" width="15.6640625" style="57" customWidth="1"/>
    <col min="11018" max="11018" width="17" style="57" customWidth="1"/>
    <col min="11019" max="11019" width="59.33203125" style="57" customWidth="1"/>
    <col min="11020" max="11020" width="17.33203125" style="57" customWidth="1"/>
    <col min="11021" max="11021" width="15.5546875" style="57" customWidth="1"/>
    <col min="11022" max="11022" width="60.33203125" style="57" customWidth="1"/>
    <col min="11023" max="11023" width="12.44140625" style="57" customWidth="1"/>
    <col min="11024" max="11272" width="9.33203125" style="57"/>
    <col min="11273" max="11273" width="15.6640625" style="57" customWidth="1"/>
    <col min="11274" max="11274" width="17" style="57" customWidth="1"/>
    <col min="11275" max="11275" width="59.33203125" style="57" customWidth="1"/>
    <col min="11276" max="11276" width="17.33203125" style="57" customWidth="1"/>
    <col min="11277" max="11277" width="15.5546875" style="57" customWidth="1"/>
    <col min="11278" max="11278" width="60.33203125" style="57" customWidth="1"/>
    <col min="11279" max="11279" width="12.44140625" style="57" customWidth="1"/>
    <col min="11280" max="11528" width="9.33203125" style="57"/>
    <col min="11529" max="11529" width="15.6640625" style="57" customWidth="1"/>
    <col min="11530" max="11530" width="17" style="57" customWidth="1"/>
    <col min="11531" max="11531" width="59.33203125" style="57" customWidth="1"/>
    <col min="11532" max="11532" width="17.33203125" style="57" customWidth="1"/>
    <col min="11533" max="11533" width="15.5546875" style="57" customWidth="1"/>
    <col min="11534" max="11534" width="60.33203125" style="57" customWidth="1"/>
    <col min="11535" max="11535" width="12.44140625" style="57" customWidth="1"/>
    <col min="11536" max="11784" width="9.33203125" style="57"/>
    <col min="11785" max="11785" width="15.6640625" style="57" customWidth="1"/>
    <col min="11786" max="11786" width="17" style="57" customWidth="1"/>
    <col min="11787" max="11787" width="59.33203125" style="57" customWidth="1"/>
    <col min="11788" max="11788" width="17.33203125" style="57" customWidth="1"/>
    <col min="11789" max="11789" width="15.5546875" style="57" customWidth="1"/>
    <col min="11790" max="11790" width="60.33203125" style="57" customWidth="1"/>
    <col min="11791" max="11791" width="12.44140625" style="57" customWidth="1"/>
    <col min="11792" max="12040" width="9.33203125" style="57"/>
    <col min="12041" max="12041" width="15.6640625" style="57" customWidth="1"/>
    <col min="12042" max="12042" width="17" style="57" customWidth="1"/>
    <col min="12043" max="12043" width="59.33203125" style="57" customWidth="1"/>
    <col min="12044" max="12044" width="17.33203125" style="57" customWidth="1"/>
    <col min="12045" max="12045" width="15.5546875" style="57" customWidth="1"/>
    <col min="12046" max="12046" width="60.33203125" style="57" customWidth="1"/>
    <col min="12047" max="12047" width="12.44140625" style="57" customWidth="1"/>
    <col min="12048" max="12296" width="9.33203125" style="57"/>
    <col min="12297" max="12297" width="15.6640625" style="57" customWidth="1"/>
    <col min="12298" max="12298" width="17" style="57" customWidth="1"/>
    <col min="12299" max="12299" width="59.33203125" style="57" customWidth="1"/>
    <col min="12300" max="12300" width="17.33203125" style="57" customWidth="1"/>
    <col min="12301" max="12301" width="15.5546875" style="57" customWidth="1"/>
    <col min="12302" max="12302" width="60.33203125" style="57" customWidth="1"/>
    <col min="12303" max="12303" width="12.44140625" style="57" customWidth="1"/>
    <col min="12304" max="12552" width="9.33203125" style="57"/>
    <col min="12553" max="12553" width="15.6640625" style="57" customWidth="1"/>
    <col min="12554" max="12554" width="17" style="57" customWidth="1"/>
    <col min="12555" max="12555" width="59.33203125" style="57" customWidth="1"/>
    <col min="12556" max="12556" width="17.33203125" style="57" customWidth="1"/>
    <col min="12557" max="12557" width="15.5546875" style="57" customWidth="1"/>
    <col min="12558" max="12558" width="60.33203125" style="57" customWidth="1"/>
    <col min="12559" max="12559" width="12.44140625" style="57" customWidth="1"/>
    <col min="12560" max="12808" width="9.33203125" style="57"/>
    <col min="12809" max="12809" width="15.6640625" style="57" customWidth="1"/>
    <col min="12810" max="12810" width="17" style="57" customWidth="1"/>
    <col min="12811" max="12811" width="59.33203125" style="57" customWidth="1"/>
    <col min="12812" max="12812" width="17.33203125" style="57" customWidth="1"/>
    <col min="12813" max="12813" width="15.5546875" style="57" customWidth="1"/>
    <col min="12814" max="12814" width="60.33203125" style="57" customWidth="1"/>
    <col min="12815" max="12815" width="12.44140625" style="57" customWidth="1"/>
    <col min="12816" max="13064" width="9.33203125" style="57"/>
    <col min="13065" max="13065" width="15.6640625" style="57" customWidth="1"/>
    <col min="13066" max="13066" width="17" style="57" customWidth="1"/>
    <col min="13067" max="13067" width="59.33203125" style="57" customWidth="1"/>
    <col min="13068" max="13068" width="17.33203125" style="57" customWidth="1"/>
    <col min="13069" max="13069" width="15.5546875" style="57" customWidth="1"/>
    <col min="13070" max="13070" width="60.33203125" style="57" customWidth="1"/>
    <col min="13071" max="13071" width="12.44140625" style="57" customWidth="1"/>
    <col min="13072" max="13320" width="9.33203125" style="57"/>
    <col min="13321" max="13321" width="15.6640625" style="57" customWidth="1"/>
    <col min="13322" max="13322" width="17" style="57" customWidth="1"/>
    <col min="13323" max="13323" width="59.33203125" style="57" customWidth="1"/>
    <col min="13324" max="13324" width="17.33203125" style="57" customWidth="1"/>
    <col min="13325" max="13325" width="15.5546875" style="57" customWidth="1"/>
    <col min="13326" max="13326" width="60.33203125" style="57" customWidth="1"/>
    <col min="13327" max="13327" width="12.44140625" style="57" customWidth="1"/>
    <col min="13328" max="13576" width="9.33203125" style="57"/>
    <col min="13577" max="13577" width="15.6640625" style="57" customWidth="1"/>
    <col min="13578" max="13578" width="17" style="57" customWidth="1"/>
    <col min="13579" max="13579" width="59.33203125" style="57" customWidth="1"/>
    <col min="13580" max="13580" width="17.33203125" style="57" customWidth="1"/>
    <col min="13581" max="13581" width="15.5546875" style="57" customWidth="1"/>
    <col min="13582" max="13582" width="60.33203125" style="57" customWidth="1"/>
    <col min="13583" max="13583" width="12.44140625" style="57" customWidth="1"/>
    <col min="13584" max="13832" width="9.33203125" style="57"/>
    <col min="13833" max="13833" width="15.6640625" style="57" customWidth="1"/>
    <col min="13834" max="13834" width="17" style="57" customWidth="1"/>
    <col min="13835" max="13835" width="59.33203125" style="57" customWidth="1"/>
    <col min="13836" max="13836" width="17.33203125" style="57" customWidth="1"/>
    <col min="13837" max="13837" width="15.5546875" style="57" customWidth="1"/>
    <col min="13838" max="13838" width="60.33203125" style="57" customWidth="1"/>
    <col min="13839" max="13839" width="12.44140625" style="57" customWidth="1"/>
    <col min="13840" max="14088" width="9.33203125" style="57"/>
    <col min="14089" max="14089" width="15.6640625" style="57" customWidth="1"/>
    <col min="14090" max="14090" width="17" style="57" customWidth="1"/>
    <col min="14091" max="14091" width="59.33203125" style="57" customWidth="1"/>
    <col min="14092" max="14092" width="17.33203125" style="57" customWidth="1"/>
    <col min="14093" max="14093" width="15.5546875" style="57" customWidth="1"/>
    <col min="14094" max="14094" width="60.33203125" style="57" customWidth="1"/>
    <col min="14095" max="14095" width="12.44140625" style="57" customWidth="1"/>
    <col min="14096" max="14344" width="9.33203125" style="57"/>
    <col min="14345" max="14345" width="15.6640625" style="57" customWidth="1"/>
    <col min="14346" max="14346" width="17" style="57" customWidth="1"/>
    <col min="14347" max="14347" width="59.33203125" style="57" customWidth="1"/>
    <col min="14348" max="14348" width="17.33203125" style="57" customWidth="1"/>
    <col min="14349" max="14349" width="15.5546875" style="57" customWidth="1"/>
    <col min="14350" max="14350" width="60.33203125" style="57" customWidth="1"/>
    <col min="14351" max="14351" width="12.44140625" style="57" customWidth="1"/>
    <col min="14352" max="14600" width="9.33203125" style="57"/>
    <col min="14601" max="14601" width="15.6640625" style="57" customWidth="1"/>
    <col min="14602" max="14602" width="17" style="57" customWidth="1"/>
    <col min="14603" max="14603" width="59.33203125" style="57" customWidth="1"/>
    <col min="14604" max="14604" width="17.33203125" style="57" customWidth="1"/>
    <col min="14605" max="14605" width="15.5546875" style="57" customWidth="1"/>
    <col min="14606" max="14606" width="60.33203125" style="57" customWidth="1"/>
    <col min="14607" max="14607" width="12.44140625" style="57" customWidth="1"/>
    <col min="14608" max="14856" width="9.33203125" style="57"/>
    <col min="14857" max="14857" width="15.6640625" style="57" customWidth="1"/>
    <col min="14858" max="14858" width="17" style="57" customWidth="1"/>
    <col min="14859" max="14859" width="59.33203125" style="57" customWidth="1"/>
    <col min="14860" max="14860" width="17.33203125" style="57" customWidth="1"/>
    <col min="14861" max="14861" width="15.5546875" style="57" customWidth="1"/>
    <col min="14862" max="14862" width="60.33203125" style="57" customWidth="1"/>
    <col min="14863" max="14863" width="12.44140625" style="57" customWidth="1"/>
    <col min="14864" max="15112" width="9.33203125" style="57"/>
    <col min="15113" max="15113" width="15.6640625" style="57" customWidth="1"/>
    <col min="15114" max="15114" width="17" style="57" customWidth="1"/>
    <col min="15115" max="15115" width="59.33203125" style="57" customWidth="1"/>
    <col min="15116" max="15116" width="17.33203125" style="57" customWidth="1"/>
    <col min="15117" max="15117" width="15.5546875" style="57" customWidth="1"/>
    <col min="15118" max="15118" width="60.33203125" style="57" customWidth="1"/>
    <col min="15119" max="15119" width="12.44140625" style="57" customWidth="1"/>
    <col min="15120" max="15368" width="9.33203125" style="57"/>
    <col min="15369" max="15369" width="15.6640625" style="57" customWidth="1"/>
    <col min="15370" max="15370" width="17" style="57" customWidth="1"/>
    <col min="15371" max="15371" width="59.33203125" style="57" customWidth="1"/>
    <col min="15372" max="15372" width="17.33203125" style="57" customWidth="1"/>
    <col min="15373" max="15373" width="15.5546875" style="57" customWidth="1"/>
    <col min="15374" max="15374" width="60.33203125" style="57" customWidth="1"/>
    <col min="15375" max="15375" width="12.44140625" style="57" customWidth="1"/>
    <col min="15376" max="15624" width="9.33203125" style="57"/>
    <col min="15625" max="15625" width="15.6640625" style="57" customWidth="1"/>
    <col min="15626" max="15626" width="17" style="57" customWidth="1"/>
    <col min="15627" max="15627" width="59.33203125" style="57" customWidth="1"/>
    <col min="15628" max="15628" width="17.33203125" style="57" customWidth="1"/>
    <col min="15629" max="15629" width="15.5546875" style="57" customWidth="1"/>
    <col min="15630" max="15630" width="60.33203125" style="57" customWidth="1"/>
    <col min="15631" max="15631" width="12.44140625" style="57" customWidth="1"/>
    <col min="15632" max="15880" width="9.33203125" style="57"/>
    <col min="15881" max="15881" width="15.6640625" style="57" customWidth="1"/>
    <col min="15882" max="15882" width="17" style="57" customWidth="1"/>
    <col min="15883" max="15883" width="59.33203125" style="57" customWidth="1"/>
    <col min="15884" max="15884" width="17.33203125" style="57" customWidth="1"/>
    <col min="15885" max="15885" width="15.5546875" style="57" customWidth="1"/>
    <col min="15886" max="15886" width="60.33203125" style="57" customWidth="1"/>
    <col min="15887" max="15887" width="12.44140625" style="57" customWidth="1"/>
    <col min="15888" max="16136" width="9.33203125" style="57"/>
    <col min="16137" max="16137" width="15.6640625" style="57" customWidth="1"/>
    <col min="16138" max="16138" width="17" style="57" customWidth="1"/>
    <col min="16139" max="16139" width="59.33203125" style="57" customWidth="1"/>
    <col min="16140" max="16140" width="17.33203125" style="57" customWidth="1"/>
    <col min="16141" max="16141" width="15.5546875" style="57" customWidth="1"/>
    <col min="16142" max="16142" width="60.33203125" style="57" customWidth="1"/>
    <col min="16143" max="16143" width="12.44140625" style="57" customWidth="1"/>
    <col min="16144" max="16384" width="9.33203125" style="57"/>
  </cols>
  <sheetData>
    <row r="1" spans="1:26" s="334" customFormat="1" ht="13.8">
      <c r="B1" s="838" t="s">
        <v>91</v>
      </c>
      <c r="C1" s="839"/>
      <c r="D1" s="840"/>
      <c r="E1" s="839"/>
      <c r="F1" s="841"/>
      <c r="G1" s="333"/>
      <c r="H1" s="57"/>
      <c r="I1" s="57"/>
      <c r="J1" s="57"/>
      <c r="R1" s="335"/>
    </row>
    <row r="2" spans="1:26" s="334" customFormat="1" ht="13.8">
      <c r="B2" s="838" t="s">
        <v>1</v>
      </c>
      <c r="C2" s="839"/>
      <c r="D2" s="840"/>
      <c r="E2" s="839"/>
      <c r="F2" s="841"/>
      <c r="G2" s="333"/>
      <c r="H2" s="57"/>
      <c r="I2" s="57"/>
      <c r="J2" s="57"/>
      <c r="R2" s="335"/>
    </row>
    <row r="3" spans="1:26" s="334" customFormat="1" ht="13.8">
      <c r="B3" s="838" t="s">
        <v>2</v>
      </c>
      <c r="C3" s="839"/>
      <c r="D3" s="840"/>
      <c r="E3" s="839"/>
      <c r="F3" s="841"/>
      <c r="G3" s="333"/>
      <c r="H3" s="57"/>
      <c r="I3" s="57"/>
      <c r="J3" s="57"/>
      <c r="R3" s="335"/>
    </row>
    <row r="4" spans="1:26" s="334" customFormat="1" ht="13.8">
      <c r="B4" s="834" t="s">
        <v>2410</v>
      </c>
      <c r="C4" s="842"/>
      <c r="D4" s="835"/>
      <c r="E4" s="842"/>
      <c r="F4" s="835"/>
      <c r="G4" s="336"/>
      <c r="H4" s="337"/>
      <c r="I4" s="337"/>
      <c r="J4" s="337"/>
      <c r="K4" s="337"/>
      <c r="L4" s="337"/>
      <c r="M4" s="337"/>
      <c r="N4" s="337"/>
      <c r="O4" s="337"/>
      <c r="P4" s="337"/>
      <c r="Q4" s="337"/>
      <c r="R4" s="338"/>
      <c r="S4" s="337"/>
      <c r="T4" s="337"/>
      <c r="U4" s="337"/>
      <c r="V4" s="58"/>
      <c r="W4" s="337"/>
      <c r="X4" s="337"/>
      <c r="Y4" s="337"/>
      <c r="Z4" s="337"/>
    </row>
    <row r="5" spans="1:26" s="64" customFormat="1" ht="30.6" hidden="1">
      <c r="B5" s="59" t="s">
        <v>92</v>
      </c>
      <c r="C5" s="59"/>
      <c r="D5" s="60" t="s">
        <v>93</v>
      </c>
      <c r="E5" s="61">
        <v>17</v>
      </c>
      <c r="F5" s="55" t="s">
        <v>94</v>
      </c>
      <c r="G5" s="55"/>
      <c r="H5" s="55" t="s">
        <v>95</v>
      </c>
      <c r="I5" s="55"/>
      <c r="J5" s="55"/>
      <c r="K5" s="55" t="s">
        <v>96</v>
      </c>
      <c r="L5" s="55"/>
      <c r="M5" s="339"/>
      <c r="N5" s="339"/>
      <c r="O5" s="339"/>
      <c r="P5" s="62">
        <f>COUNTIF(Issues!$B$8:$B$53,"PI*")</f>
        <v>46</v>
      </c>
      <c r="Q5" s="55" t="s">
        <v>96</v>
      </c>
      <c r="R5" s="63"/>
    </row>
    <row r="6" spans="1:26" s="64" customFormat="1" ht="41.55" customHeight="1">
      <c r="B6" s="59" t="s">
        <v>92</v>
      </c>
      <c r="C6" s="59"/>
      <c r="D6" s="574" t="s">
        <v>93</v>
      </c>
      <c r="E6" s="61"/>
      <c r="F6" s="55" t="s">
        <v>94</v>
      </c>
      <c r="G6" s="55"/>
      <c r="H6" s="55" t="s">
        <v>95</v>
      </c>
      <c r="I6" s="55"/>
      <c r="J6" s="55" t="s">
        <v>96</v>
      </c>
      <c r="K6" s="55"/>
      <c r="L6" s="55"/>
      <c r="M6" s="55"/>
      <c r="N6" s="55"/>
      <c r="O6" s="55"/>
      <c r="P6" s="55" t="s">
        <v>96</v>
      </c>
      <c r="Q6" s="55"/>
      <c r="R6" s="55"/>
      <c r="S6" s="506"/>
    </row>
    <row r="7" spans="1:26" s="65" customFormat="1" ht="46.05" customHeight="1">
      <c r="A7" s="65" t="s">
        <v>1638</v>
      </c>
      <c r="B7" s="112" t="s">
        <v>97</v>
      </c>
      <c r="C7" s="113" t="s">
        <v>1375</v>
      </c>
      <c r="D7" s="112" t="s">
        <v>1376</v>
      </c>
      <c r="E7" s="113" t="s">
        <v>1230</v>
      </c>
      <c r="F7" s="113" t="s">
        <v>98</v>
      </c>
      <c r="G7" s="113" t="s">
        <v>1377</v>
      </c>
      <c r="H7" s="113" t="s">
        <v>99</v>
      </c>
      <c r="I7" s="113" t="s">
        <v>100</v>
      </c>
      <c r="J7" s="113" t="s">
        <v>101</v>
      </c>
      <c r="K7" s="113" t="s">
        <v>102</v>
      </c>
      <c r="L7" s="113" t="s">
        <v>103</v>
      </c>
      <c r="M7" s="113" t="s">
        <v>1378</v>
      </c>
      <c r="N7" s="113" t="s">
        <v>1379</v>
      </c>
      <c r="O7" s="113" t="s">
        <v>1380</v>
      </c>
      <c r="P7" s="112" t="s">
        <v>104</v>
      </c>
      <c r="Q7" s="112" t="s">
        <v>105</v>
      </c>
      <c r="R7" s="112" t="s">
        <v>1644</v>
      </c>
      <c r="S7" s="505" t="s">
        <v>1381</v>
      </c>
    </row>
    <row r="8" spans="1:26" ht="138" hidden="1" customHeight="1">
      <c r="B8" s="68" t="str">
        <f>IF(F8&lt;&gt;"","PI_" &amp; TEXT(ROW(F8)-6,"0000"),"")</f>
        <v>PI_0002</v>
      </c>
      <c r="C8" s="68"/>
      <c r="D8" s="575">
        <v>44881</v>
      </c>
      <c r="E8" s="68"/>
      <c r="F8" s="56" t="s">
        <v>106</v>
      </c>
      <c r="G8" s="56"/>
      <c r="H8" s="68" t="s">
        <v>107</v>
      </c>
      <c r="I8" s="56"/>
      <c r="J8" s="56"/>
      <c r="K8" s="89" t="str">
        <f>IFERROR(VLOOKUP(CONCATENATE(Issues_table[[#This Row],[Priority]],Issues_table[[#This Row],[Severity]]),'Issue data'!$A$2:$B$10,2,FALSE),"")</f>
        <v/>
      </c>
      <c r="L8" s="106" t="s">
        <v>108</v>
      </c>
      <c r="M8" s="106"/>
      <c r="N8" s="106"/>
      <c r="O8" s="106"/>
      <c r="P8" s="66" t="s">
        <v>109</v>
      </c>
      <c r="Q8" s="68" t="s">
        <v>110</v>
      </c>
      <c r="R8" s="72"/>
      <c r="S8" s="507"/>
    </row>
    <row r="9" spans="1:26" ht="102.75" hidden="1" customHeight="1">
      <c r="B9" s="56" t="str">
        <f t="shared" ref="B9:B72" si="0">IF(F9&lt;&gt;"","PI_" &amp; TEXT(ROW(F9)-6,"0000"),"")</f>
        <v>PI_0003</v>
      </c>
      <c r="C9" s="56"/>
      <c r="D9" s="575">
        <v>44881</v>
      </c>
      <c r="E9" s="56"/>
      <c r="F9" s="56" t="s">
        <v>111</v>
      </c>
      <c r="G9" s="56"/>
      <c r="H9" s="68" t="s">
        <v>112</v>
      </c>
      <c r="I9" s="56"/>
      <c r="J9" s="56"/>
      <c r="K9" s="89" t="str">
        <f>IFERROR(VLOOKUP(CONCATENATE(Issues_table[[#This Row],[Priority]],Issues_table[[#This Row],[Severity]]),'Issue data'!$A$2:$B$10,2,FALSE),"")</f>
        <v/>
      </c>
      <c r="L9" s="108" t="s">
        <v>113</v>
      </c>
      <c r="M9" s="108"/>
      <c r="N9" s="108"/>
      <c r="O9" s="108"/>
      <c r="P9" s="66" t="s">
        <v>109</v>
      </c>
      <c r="Q9" s="56" t="s">
        <v>110</v>
      </c>
      <c r="R9" s="73"/>
      <c r="S9" s="507"/>
    </row>
    <row r="10" spans="1:26" ht="41.85" hidden="1" customHeight="1">
      <c r="B10" s="56" t="str">
        <f t="shared" si="0"/>
        <v>PI_0004</v>
      </c>
      <c r="C10" s="56"/>
      <c r="D10" s="575">
        <v>44881</v>
      </c>
      <c r="E10" s="56" t="s">
        <v>33</v>
      </c>
      <c r="F10" s="56" t="s">
        <v>115</v>
      </c>
      <c r="G10" s="56"/>
      <c r="H10" s="56" t="s">
        <v>61</v>
      </c>
      <c r="I10" s="56"/>
      <c r="J10" s="56"/>
      <c r="K10" s="89" t="str">
        <f>IFERROR(VLOOKUP(CONCATENATE(Issues_table[[#This Row],[Priority]],Issues_table[[#This Row],[Severity]]),'Issue data'!$A$2:$B$10,2,FALSE),"")</f>
        <v/>
      </c>
      <c r="L10" s="56" t="s">
        <v>116</v>
      </c>
      <c r="M10" s="56"/>
      <c r="N10" s="56"/>
      <c r="O10" s="56"/>
      <c r="P10" s="66">
        <v>44957</v>
      </c>
      <c r="Q10" s="56" t="s">
        <v>110</v>
      </c>
      <c r="R10" s="72"/>
      <c r="S10" s="507"/>
    </row>
    <row r="11" spans="1:26" ht="64.05" customHeight="1">
      <c r="B11" s="56" t="str">
        <f t="shared" si="0"/>
        <v>PI_0005</v>
      </c>
      <c r="C11" s="56"/>
      <c r="D11" s="66">
        <v>44881</v>
      </c>
      <c r="E11" s="56"/>
      <c r="F11" s="68" t="s">
        <v>117</v>
      </c>
      <c r="G11" s="68" t="s">
        <v>2322</v>
      </c>
      <c r="H11" s="68" t="s">
        <v>26</v>
      </c>
      <c r="I11" s="56">
        <v>3</v>
      </c>
      <c r="J11" s="56">
        <v>3</v>
      </c>
      <c r="K11" s="89" t="str">
        <f>IFERROR(VLOOKUP(CONCATENATE(Issues_table[[#This Row],[Priority]],Issues_table[[#This Row],[Severity]]),'Issue data'!$A$2:$B$10,2,FALSE),"")</f>
        <v>Low</v>
      </c>
      <c r="L11" s="108" t="s">
        <v>118</v>
      </c>
      <c r="M11" s="108" t="s">
        <v>61</v>
      </c>
      <c r="N11" s="108"/>
      <c r="O11" s="108"/>
      <c r="P11" s="66" t="s">
        <v>109</v>
      </c>
      <c r="Q11" s="56" t="s">
        <v>114</v>
      </c>
      <c r="R11" s="72"/>
      <c r="S11" s="507"/>
    </row>
    <row r="12" spans="1:26" ht="70.349999999999994" hidden="1" customHeight="1">
      <c r="B12" s="56" t="str">
        <f t="shared" si="0"/>
        <v>PI_0006</v>
      </c>
      <c r="C12" s="340"/>
      <c r="D12" s="575">
        <v>44881</v>
      </c>
      <c r="E12" s="341"/>
      <c r="F12" s="68" t="s">
        <v>119</v>
      </c>
      <c r="G12" s="68"/>
      <c r="H12" s="68" t="s">
        <v>107</v>
      </c>
      <c r="I12" s="56"/>
      <c r="J12" s="56"/>
      <c r="K12" s="89" t="str">
        <f>IFERROR(VLOOKUP(CONCATENATE(Issues_table[[#This Row],[Priority]],Issues_table[[#This Row],[Severity]]),'Issue data'!$A$2:$B$10,2,FALSE),"")</f>
        <v/>
      </c>
      <c r="L12" s="108" t="s">
        <v>120</v>
      </c>
      <c r="M12" s="108"/>
      <c r="N12" s="108"/>
      <c r="O12" s="108"/>
      <c r="P12" s="71" t="s">
        <v>109</v>
      </c>
      <c r="Q12" s="68" t="s">
        <v>110</v>
      </c>
      <c r="R12" s="73"/>
      <c r="S12" s="508"/>
      <c r="T12" s="69"/>
      <c r="U12" s="69"/>
      <c r="V12" s="69"/>
      <c r="W12" s="69"/>
      <c r="X12" s="69"/>
    </row>
    <row r="13" spans="1:26" ht="60" hidden="1" customHeight="1">
      <c r="B13" s="56" t="str">
        <f t="shared" si="0"/>
        <v>PI_0007</v>
      </c>
      <c r="C13" s="56"/>
      <c r="D13" s="575">
        <v>44881</v>
      </c>
      <c r="E13" s="68"/>
      <c r="F13" s="56" t="s">
        <v>37</v>
      </c>
      <c r="G13" s="56"/>
      <c r="H13" s="56" t="s">
        <v>121</v>
      </c>
      <c r="I13" s="56"/>
      <c r="J13" s="56"/>
      <c r="K13" s="89" t="str">
        <f>IFERROR(VLOOKUP(CONCATENATE(Issues_table[[#This Row],[Priority]],Issues_table[[#This Row],[Severity]]),'Issue data'!$A$2:$B$10,2,FALSE),"")</f>
        <v/>
      </c>
      <c r="L13" s="56"/>
      <c r="M13" s="56"/>
      <c r="N13" s="56"/>
      <c r="O13" s="56"/>
      <c r="P13" s="66">
        <v>44895</v>
      </c>
      <c r="Q13" s="56" t="s">
        <v>110</v>
      </c>
      <c r="R13" s="72"/>
      <c r="S13" s="507"/>
    </row>
    <row r="14" spans="1:26" ht="68.55" hidden="1" customHeight="1">
      <c r="B14" s="68" t="str">
        <f t="shared" si="0"/>
        <v>PI_0008</v>
      </c>
      <c r="C14" s="68"/>
      <c r="D14" s="575">
        <v>44881</v>
      </c>
      <c r="E14" s="68"/>
      <c r="F14" s="68" t="s">
        <v>122</v>
      </c>
      <c r="G14" s="68"/>
      <c r="H14" s="56" t="s">
        <v>43</v>
      </c>
      <c r="I14" s="56"/>
      <c r="J14" s="56"/>
      <c r="K14" s="89" t="str">
        <f>IFERROR(VLOOKUP(CONCATENATE(Issues_table[[#This Row],[Priority]],Issues_table[[#This Row],[Severity]]),'Issue data'!$A$2:$B$10,2,FALSE),"")</f>
        <v/>
      </c>
      <c r="L14" s="108" t="s">
        <v>123</v>
      </c>
      <c r="M14" s="108"/>
      <c r="N14" s="108"/>
      <c r="O14" s="108"/>
      <c r="P14" s="71" t="s">
        <v>109</v>
      </c>
      <c r="Q14" s="68" t="s">
        <v>110</v>
      </c>
      <c r="R14" s="73"/>
      <c r="S14" s="507"/>
    </row>
    <row r="15" spans="1:26" ht="14.1" hidden="1" customHeight="1">
      <c r="B15" s="56" t="str">
        <f t="shared" si="0"/>
        <v>PI_0009</v>
      </c>
      <c r="C15" s="56"/>
      <c r="D15" s="575">
        <v>44881</v>
      </c>
      <c r="E15" s="56"/>
      <c r="F15" s="56" t="s">
        <v>124</v>
      </c>
      <c r="G15" s="56"/>
      <c r="H15" s="56" t="s">
        <v>43</v>
      </c>
      <c r="I15" s="56"/>
      <c r="J15" s="56"/>
      <c r="K15" s="89" t="str">
        <f>IFERROR(VLOOKUP(CONCATENATE(Issues_table[[#This Row],[Priority]],Issues_table[[#This Row],[Severity]]),'Issue data'!$A$2:$B$10,2,FALSE),"")</f>
        <v/>
      </c>
      <c r="L15" s="56" t="s">
        <v>125</v>
      </c>
      <c r="M15" s="56"/>
      <c r="N15" s="56"/>
      <c r="O15" s="56"/>
      <c r="P15" s="66" t="s">
        <v>109</v>
      </c>
      <c r="Q15" s="56" t="s">
        <v>110</v>
      </c>
      <c r="R15" s="72"/>
      <c r="S15" s="507"/>
    </row>
    <row r="16" spans="1:26" ht="55.35" customHeight="1">
      <c r="B16" s="56" t="str">
        <f t="shared" si="0"/>
        <v>PI_0010</v>
      </c>
      <c r="C16" s="56"/>
      <c r="D16" s="66">
        <v>44881</v>
      </c>
      <c r="E16" s="56"/>
      <c r="F16" s="56" t="s">
        <v>2405</v>
      </c>
      <c r="G16" s="56"/>
      <c r="H16" s="68" t="s">
        <v>26</v>
      </c>
      <c r="I16" s="56">
        <v>2</v>
      </c>
      <c r="J16" s="56">
        <v>3</v>
      </c>
      <c r="K16" s="89" t="str">
        <f>IFERROR(VLOOKUP(CONCATENATE(Issues_table[[#This Row],[Priority]],Issues_table[[#This Row],[Severity]]),'Issue data'!$A$2:$B$10,2,FALSE),"")</f>
        <v>Low</v>
      </c>
      <c r="L16" s="108" t="s">
        <v>127</v>
      </c>
      <c r="M16" s="108" t="s">
        <v>61</v>
      </c>
      <c r="N16" s="108"/>
      <c r="O16" s="108"/>
      <c r="P16" s="66" t="s">
        <v>109</v>
      </c>
      <c r="Q16" s="56" t="s">
        <v>114</v>
      </c>
      <c r="R16" s="72"/>
      <c r="S16" s="507"/>
      <c r="T16" s="69"/>
    </row>
    <row r="17" spans="2:20" ht="27.75" hidden="1" customHeight="1">
      <c r="B17" s="56" t="str">
        <f t="shared" si="0"/>
        <v>PI_0011</v>
      </c>
      <c r="C17" s="342"/>
      <c r="D17" s="575">
        <v>44881</v>
      </c>
      <c r="E17" s="342"/>
      <c r="F17" s="56" t="s">
        <v>128</v>
      </c>
      <c r="G17" s="56"/>
      <c r="H17" s="56" t="s">
        <v>41</v>
      </c>
      <c r="I17" s="56"/>
      <c r="J17" s="56"/>
      <c r="K17" s="89" t="str">
        <f>IFERROR(VLOOKUP(CONCATENATE(Issues_table[[#This Row],[Priority]],Issues_table[[#This Row],[Severity]]),'Issue data'!$A$2:$B$10,2,FALSE),"")</f>
        <v/>
      </c>
      <c r="L17" s="56" t="s">
        <v>129</v>
      </c>
      <c r="M17" s="56"/>
      <c r="N17" s="56"/>
      <c r="O17" s="56"/>
      <c r="P17" s="66" t="s">
        <v>109</v>
      </c>
      <c r="Q17" s="56" t="s">
        <v>110</v>
      </c>
      <c r="R17" s="72"/>
      <c r="S17" s="507"/>
      <c r="T17" s="69"/>
    </row>
    <row r="18" spans="2:20" ht="41.85" hidden="1" customHeight="1">
      <c r="B18" s="56" t="str">
        <f t="shared" si="0"/>
        <v>PI_0012</v>
      </c>
      <c r="C18" s="56"/>
      <c r="D18" s="575">
        <v>44881</v>
      </c>
      <c r="E18" s="56"/>
      <c r="F18" s="56" t="s">
        <v>130</v>
      </c>
      <c r="G18" s="56"/>
      <c r="H18" s="56" t="s">
        <v>41</v>
      </c>
      <c r="I18" s="56"/>
      <c r="J18" s="56"/>
      <c r="K18" s="89" t="str">
        <f>IFERROR(VLOOKUP(CONCATENATE(Issues_table[[#This Row],[Priority]],Issues_table[[#This Row],[Severity]]),'Issue data'!$A$2:$B$10,2,FALSE),"")</f>
        <v/>
      </c>
      <c r="L18" s="56" t="s">
        <v>131</v>
      </c>
      <c r="M18" s="56"/>
      <c r="N18" s="56"/>
      <c r="O18" s="56"/>
      <c r="P18" s="66" t="s">
        <v>109</v>
      </c>
      <c r="Q18" s="56" t="s">
        <v>110</v>
      </c>
      <c r="R18" s="72"/>
      <c r="S18" s="507"/>
    </row>
    <row r="19" spans="2:20" ht="27.75" hidden="1" customHeight="1">
      <c r="B19" s="56" t="str">
        <f t="shared" si="0"/>
        <v>PI_0013</v>
      </c>
      <c r="C19" s="56"/>
      <c r="D19" s="575">
        <v>44881</v>
      </c>
      <c r="E19" s="68"/>
      <c r="F19" s="68" t="s">
        <v>132</v>
      </c>
      <c r="G19" s="68"/>
      <c r="H19" s="56" t="s">
        <v>107</v>
      </c>
      <c r="I19" s="56"/>
      <c r="J19" s="56"/>
      <c r="K19" s="89" t="str">
        <f>IFERROR(VLOOKUP(CONCATENATE(Issues_table[[#This Row],[Priority]],Issues_table[[#This Row],[Severity]]),'Issue data'!$A$2:$B$10,2,FALSE),"")</f>
        <v/>
      </c>
      <c r="L19" s="56" t="s">
        <v>133</v>
      </c>
      <c r="M19" s="56"/>
      <c r="N19" s="56"/>
      <c r="O19" s="56"/>
      <c r="P19" s="66">
        <v>45044</v>
      </c>
      <c r="Q19" s="56" t="s">
        <v>110</v>
      </c>
      <c r="R19" s="72"/>
      <c r="S19" s="507"/>
    </row>
    <row r="20" spans="2:20" ht="82.8" hidden="1">
      <c r="B20" s="56" t="str">
        <f t="shared" si="0"/>
        <v>PI_0014</v>
      </c>
      <c r="C20" s="56"/>
      <c r="D20" s="575">
        <v>44881</v>
      </c>
      <c r="E20" s="56"/>
      <c r="F20" s="56" t="s">
        <v>134</v>
      </c>
      <c r="G20" s="56"/>
      <c r="H20" s="68" t="s">
        <v>41</v>
      </c>
      <c r="I20" s="56"/>
      <c r="J20" s="56"/>
      <c r="K20" s="89" t="str">
        <f>IFERROR(VLOOKUP(CONCATENATE(Issues_table[[#This Row],[Priority]],Issues_table[[#This Row],[Severity]]),'Issue data'!$A$2:$B$10,2,FALSE),"")</f>
        <v/>
      </c>
      <c r="L20" s="127" t="s">
        <v>135</v>
      </c>
      <c r="M20" s="127"/>
      <c r="N20" s="127"/>
      <c r="O20" s="127"/>
      <c r="P20" s="66" t="s">
        <v>109</v>
      </c>
      <c r="Q20" s="56" t="s">
        <v>110</v>
      </c>
      <c r="R20" s="72"/>
      <c r="S20" s="507"/>
    </row>
    <row r="21" spans="2:20" ht="124.2" hidden="1">
      <c r="B21" s="56" t="str">
        <f t="shared" si="0"/>
        <v>PI_0015</v>
      </c>
      <c r="C21" s="56"/>
      <c r="D21" s="575">
        <v>44881</v>
      </c>
      <c r="E21" s="56"/>
      <c r="F21" s="56" t="s">
        <v>136</v>
      </c>
      <c r="G21" s="56"/>
      <c r="H21" s="56" t="s">
        <v>107</v>
      </c>
      <c r="I21" s="56"/>
      <c r="J21" s="56"/>
      <c r="K21" s="89" t="str">
        <f>IFERROR(VLOOKUP(CONCATENATE(Issues_table[[#This Row],[Priority]],Issues_table[[#This Row],[Severity]]),'Issue data'!$A$2:$B$10,2,FALSE),"")</f>
        <v/>
      </c>
      <c r="L21" s="106" t="s">
        <v>137</v>
      </c>
      <c r="M21" s="106"/>
      <c r="N21" s="106"/>
      <c r="O21" s="106"/>
      <c r="P21" s="66" t="s">
        <v>138</v>
      </c>
      <c r="Q21" s="56" t="s">
        <v>110</v>
      </c>
      <c r="R21" s="72"/>
      <c r="S21" s="507"/>
    </row>
    <row r="22" spans="2:20" ht="14.1" hidden="1" customHeight="1">
      <c r="B22" s="56" t="str">
        <f t="shared" si="0"/>
        <v>PI_0016</v>
      </c>
      <c r="C22" s="56"/>
      <c r="D22" s="575">
        <v>44881</v>
      </c>
      <c r="E22" s="56"/>
      <c r="F22" s="56" t="s">
        <v>139</v>
      </c>
      <c r="G22" s="56"/>
      <c r="H22" s="56" t="s">
        <v>41</v>
      </c>
      <c r="I22" s="56"/>
      <c r="J22" s="56"/>
      <c r="K22" s="89" t="str">
        <f>IFERROR(VLOOKUP(CONCATENATE(Issues_table[[#This Row],[Priority]],Issues_table[[#This Row],[Severity]]),'Issue data'!$A$2:$B$10,2,FALSE),"")</f>
        <v/>
      </c>
      <c r="L22" s="56" t="s">
        <v>140</v>
      </c>
      <c r="M22" s="56"/>
      <c r="N22" s="56"/>
      <c r="O22" s="56"/>
      <c r="P22" s="66" t="s">
        <v>109</v>
      </c>
      <c r="Q22" s="56" t="s">
        <v>110</v>
      </c>
      <c r="R22" s="72"/>
      <c r="S22" s="507"/>
    </row>
    <row r="23" spans="2:20" ht="101.85" hidden="1" customHeight="1">
      <c r="B23" s="56" t="str">
        <f t="shared" si="0"/>
        <v>PI_0017</v>
      </c>
      <c r="C23" s="56"/>
      <c r="D23" s="575">
        <v>44881</v>
      </c>
      <c r="E23" s="56"/>
      <c r="F23" s="343" t="s">
        <v>141</v>
      </c>
      <c r="G23" s="343"/>
      <c r="H23" s="56" t="s">
        <v>142</v>
      </c>
      <c r="I23" s="56"/>
      <c r="J23" s="56"/>
      <c r="K23" s="89" t="str">
        <f>IFERROR(VLOOKUP(CONCATENATE(Issues_table[[#This Row],[Priority]],Issues_table[[#This Row],[Severity]]),'Issue data'!$A$2:$B$10,2,FALSE),"")</f>
        <v/>
      </c>
      <c r="L23" s="56" t="s">
        <v>144</v>
      </c>
      <c r="M23" s="56"/>
      <c r="N23" s="56"/>
      <c r="O23" s="56"/>
      <c r="P23" s="66" t="s">
        <v>109</v>
      </c>
      <c r="Q23" s="56" t="s">
        <v>110</v>
      </c>
      <c r="R23" s="72"/>
      <c r="S23" s="507"/>
    </row>
    <row r="24" spans="2:20" ht="102" hidden="1" customHeight="1">
      <c r="B24" s="56" t="str">
        <f t="shared" si="0"/>
        <v>PI_0018</v>
      </c>
      <c r="C24" s="56"/>
      <c r="D24" s="575">
        <v>44881</v>
      </c>
      <c r="E24" s="56"/>
      <c r="F24" s="344" t="s">
        <v>145</v>
      </c>
      <c r="G24" s="344"/>
      <c r="H24" s="56" t="s">
        <v>126</v>
      </c>
      <c r="I24" s="56"/>
      <c r="J24" s="56"/>
      <c r="K24" s="89" t="str">
        <f>IFERROR(VLOOKUP(CONCATENATE(Issues_table[[#This Row],[Priority]],Issues_table[[#This Row],[Severity]]),'Issue data'!$A$2:$B$10,2,FALSE),"")</f>
        <v/>
      </c>
      <c r="L24" s="106" t="s">
        <v>146</v>
      </c>
      <c r="M24" s="106"/>
      <c r="N24" s="106"/>
      <c r="O24" s="106"/>
      <c r="P24" s="56" t="s">
        <v>109</v>
      </c>
      <c r="Q24" s="56" t="s">
        <v>110</v>
      </c>
      <c r="R24" s="72"/>
      <c r="S24" s="507"/>
    </row>
    <row r="25" spans="2:20" ht="165.6" hidden="1">
      <c r="B25" s="56" t="str">
        <f t="shared" si="0"/>
        <v>PI_0019</v>
      </c>
      <c r="C25" s="56"/>
      <c r="D25" s="71">
        <v>44946</v>
      </c>
      <c r="E25" s="56"/>
      <c r="F25" s="343" t="s">
        <v>147</v>
      </c>
      <c r="G25" s="343"/>
      <c r="H25" s="56" t="s">
        <v>148</v>
      </c>
      <c r="I25" s="56"/>
      <c r="J25" s="56"/>
      <c r="K25" s="89" t="str">
        <f>IFERROR(VLOOKUP(CONCATENATE(Issues_table[[#This Row],[Priority]],Issues_table[[#This Row],[Severity]]),'Issue data'!$A$2:$B$10,2,FALSE),"")</f>
        <v/>
      </c>
      <c r="L25" s="106" t="s">
        <v>149</v>
      </c>
      <c r="M25" s="106"/>
      <c r="N25" s="106"/>
      <c r="O25" s="106"/>
      <c r="P25" s="56" t="s">
        <v>109</v>
      </c>
      <c r="Q25" s="68" t="s">
        <v>110</v>
      </c>
      <c r="R25" s="72"/>
      <c r="S25" s="507"/>
    </row>
    <row r="26" spans="2:20" ht="42" hidden="1" customHeight="1">
      <c r="B26" s="56" t="str">
        <f t="shared" si="0"/>
        <v>PI_0020</v>
      </c>
      <c r="C26" s="56"/>
      <c r="D26" s="71">
        <v>44946</v>
      </c>
      <c r="E26" s="56"/>
      <c r="F26" s="343" t="s">
        <v>150</v>
      </c>
      <c r="G26" s="343"/>
      <c r="H26" s="56" t="s">
        <v>151</v>
      </c>
      <c r="I26" s="56"/>
      <c r="J26" s="56"/>
      <c r="K26" s="89" t="str">
        <f>IFERROR(VLOOKUP(CONCATENATE(Issues_table[[#This Row],[Priority]],Issues_table[[#This Row],[Severity]]),'Issue data'!$A$2:$B$10,2,FALSE),"")</f>
        <v/>
      </c>
      <c r="L26" s="108" t="s">
        <v>152</v>
      </c>
      <c r="M26" s="108"/>
      <c r="N26" s="108"/>
      <c r="O26" s="108"/>
      <c r="P26" s="56" t="s">
        <v>109</v>
      </c>
      <c r="Q26" s="68" t="s">
        <v>110</v>
      </c>
      <c r="R26" s="73"/>
      <c r="S26" s="507"/>
    </row>
    <row r="27" spans="2:20" ht="43.35" hidden="1" customHeight="1">
      <c r="B27" s="56" t="str">
        <f t="shared" si="0"/>
        <v>PI_0021</v>
      </c>
      <c r="C27" s="56"/>
      <c r="D27" s="71">
        <v>44946</v>
      </c>
      <c r="E27" s="56"/>
      <c r="F27" s="343" t="s">
        <v>153</v>
      </c>
      <c r="G27" s="343"/>
      <c r="H27" s="56" t="s">
        <v>61</v>
      </c>
      <c r="I27" s="56"/>
      <c r="J27" s="56"/>
      <c r="K27" s="89" t="str">
        <f>IFERROR(VLOOKUP(CONCATENATE(Issues_table[[#This Row],[Priority]],Issues_table[[#This Row],[Severity]]),'Issue data'!$A$2:$B$10,2,FALSE),"")</f>
        <v/>
      </c>
      <c r="L27" s="108" t="s">
        <v>154</v>
      </c>
      <c r="M27" s="108"/>
      <c r="N27" s="108"/>
      <c r="O27" s="108"/>
      <c r="P27" s="56" t="s">
        <v>109</v>
      </c>
      <c r="Q27" s="56" t="s">
        <v>110</v>
      </c>
      <c r="R27" s="73"/>
      <c r="S27" s="448"/>
    </row>
    <row r="28" spans="2:20" ht="27.75" hidden="1" customHeight="1">
      <c r="B28" s="56" t="str">
        <f t="shared" si="0"/>
        <v>PI_0022</v>
      </c>
      <c r="C28" s="56"/>
      <c r="D28" s="71">
        <v>44946</v>
      </c>
      <c r="E28" s="68"/>
      <c r="F28" s="344" t="s">
        <v>155</v>
      </c>
      <c r="G28" s="344"/>
      <c r="H28" s="56" t="s">
        <v>41</v>
      </c>
      <c r="I28" s="56"/>
      <c r="J28" s="56"/>
      <c r="K28" s="89" t="str">
        <f>IFERROR(VLOOKUP(CONCATENATE(Issues_table[[#This Row],[Priority]],Issues_table[[#This Row],[Severity]]),'Issue data'!$A$2:$B$10,2,FALSE),"")</f>
        <v/>
      </c>
      <c r="L28" s="103" t="s">
        <v>156</v>
      </c>
      <c r="M28" s="103"/>
      <c r="N28" s="103"/>
      <c r="O28" s="103"/>
      <c r="P28" s="56" t="s">
        <v>109</v>
      </c>
      <c r="Q28" s="56" t="s">
        <v>110</v>
      </c>
      <c r="R28" s="72"/>
      <c r="S28" s="507"/>
    </row>
    <row r="29" spans="2:20" ht="88.5" hidden="1" customHeight="1">
      <c r="B29" s="56" t="str">
        <f t="shared" si="0"/>
        <v>PI_0023</v>
      </c>
      <c r="C29" s="56"/>
      <c r="D29" s="71">
        <v>44946</v>
      </c>
      <c r="E29" s="56"/>
      <c r="F29" s="343" t="s">
        <v>157</v>
      </c>
      <c r="G29" s="343"/>
      <c r="H29" s="56" t="s">
        <v>158</v>
      </c>
      <c r="I29" s="56"/>
      <c r="J29" s="56"/>
      <c r="K29" s="89" t="str">
        <f>IFERROR(VLOOKUP(CONCATENATE(Issues_table[[#This Row],[Priority]],Issues_table[[#This Row],[Severity]]),'Issue data'!$A$2:$B$10,2,FALSE),"")</f>
        <v/>
      </c>
      <c r="L29" s="102" t="s">
        <v>159</v>
      </c>
      <c r="M29" s="102"/>
      <c r="N29" s="102"/>
      <c r="O29" s="102"/>
      <c r="P29" s="56" t="s">
        <v>109</v>
      </c>
      <c r="Q29" s="68" t="s">
        <v>110</v>
      </c>
      <c r="R29" s="72"/>
      <c r="S29" s="507"/>
    </row>
    <row r="30" spans="2:20" ht="58.5" hidden="1" customHeight="1">
      <c r="B30" s="56" t="str">
        <f t="shared" si="0"/>
        <v>PI_0024</v>
      </c>
      <c r="C30" s="56"/>
      <c r="D30" s="71">
        <v>44946</v>
      </c>
      <c r="E30" s="56"/>
      <c r="F30" s="343" t="s">
        <v>160</v>
      </c>
      <c r="G30" s="343"/>
      <c r="H30" s="56" t="s">
        <v>161</v>
      </c>
      <c r="I30" s="56"/>
      <c r="J30" s="56"/>
      <c r="K30" s="89" t="str">
        <f>IFERROR(VLOOKUP(CONCATENATE(Issues_table[[#This Row],[Priority]],Issues_table[[#This Row],[Severity]]),'Issue data'!$A$2:$B$10,2,FALSE),"")</f>
        <v/>
      </c>
      <c r="L30" s="56" t="s">
        <v>162</v>
      </c>
      <c r="M30" s="56"/>
      <c r="N30" s="56"/>
      <c r="O30" s="56"/>
      <c r="P30" s="56" t="s">
        <v>109</v>
      </c>
      <c r="Q30" s="56" t="s">
        <v>110</v>
      </c>
      <c r="R30" s="72"/>
      <c r="S30" s="507"/>
    </row>
    <row r="31" spans="2:20" ht="99" hidden="1" customHeight="1">
      <c r="B31" s="56" t="str">
        <f t="shared" si="0"/>
        <v>PI_0025</v>
      </c>
      <c r="C31" s="56"/>
      <c r="D31" s="71">
        <v>44946</v>
      </c>
      <c r="E31" s="56"/>
      <c r="F31" s="344" t="s">
        <v>163</v>
      </c>
      <c r="G31" s="344"/>
      <c r="H31" s="56" t="s">
        <v>164</v>
      </c>
      <c r="I31" s="56"/>
      <c r="J31" s="56"/>
      <c r="K31" s="89" t="str">
        <f>IFERROR(VLOOKUP(CONCATENATE(Issues_table[[#This Row],[Priority]],Issues_table[[#This Row],[Severity]]),'Issue data'!$A$2:$B$10,2,FALSE),"")</f>
        <v/>
      </c>
      <c r="L31" s="127" t="s">
        <v>165</v>
      </c>
      <c r="M31" s="127"/>
      <c r="N31" s="127"/>
      <c r="O31" s="127"/>
      <c r="P31" s="56" t="s">
        <v>109</v>
      </c>
      <c r="Q31" s="56" t="s">
        <v>110</v>
      </c>
      <c r="R31" s="72"/>
      <c r="S31" s="448"/>
      <c r="T31" s="346"/>
    </row>
    <row r="32" spans="2:20" ht="76.349999999999994" customHeight="1">
      <c r="B32" s="56" t="str">
        <f t="shared" si="0"/>
        <v>PI_0026</v>
      </c>
      <c r="C32" s="56"/>
      <c r="D32" s="71">
        <v>44946</v>
      </c>
      <c r="E32" s="56"/>
      <c r="F32" s="344" t="s">
        <v>166</v>
      </c>
      <c r="G32" s="344"/>
      <c r="H32" s="68" t="s">
        <v>26</v>
      </c>
      <c r="I32" s="56">
        <v>2</v>
      </c>
      <c r="J32" s="56">
        <v>2</v>
      </c>
      <c r="K32" s="89" t="str">
        <f>IFERROR(VLOOKUP(CONCATENATE(Issues_table[[#This Row],[Priority]],Issues_table[[#This Row],[Severity]]),'Issue data'!$A$2:$B$10,2,FALSE),"")</f>
        <v>Medium</v>
      </c>
      <c r="L32" s="127" t="s">
        <v>1382</v>
      </c>
      <c r="M32" s="127" t="s">
        <v>161</v>
      </c>
      <c r="N32" s="127"/>
      <c r="O32" s="127"/>
      <c r="P32" s="56" t="s">
        <v>109</v>
      </c>
      <c r="Q32" s="56" t="s">
        <v>114</v>
      </c>
      <c r="R32" s="72"/>
      <c r="S32" s="507"/>
      <c r="T32" s="346"/>
    </row>
    <row r="33" spans="1:20" ht="99.75" hidden="1" customHeight="1">
      <c r="B33" s="56" t="str">
        <f t="shared" si="0"/>
        <v>PI_0027</v>
      </c>
      <c r="C33" s="342"/>
      <c r="D33" s="575">
        <v>45096</v>
      </c>
      <c r="E33" s="342"/>
      <c r="F33" s="344" t="s">
        <v>167</v>
      </c>
      <c r="G33" s="344"/>
      <c r="H33" s="56" t="s">
        <v>43</v>
      </c>
      <c r="I33" s="56"/>
      <c r="J33" s="56"/>
      <c r="K33" s="89" t="str">
        <f>IFERROR(VLOOKUP(CONCATENATE(Issues_table[[#This Row],[Priority]],Issues_table[[#This Row],[Severity]]),'Issue data'!$A$2:$B$10,2,FALSE),"")</f>
        <v/>
      </c>
      <c r="L33" s="108" t="s">
        <v>168</v>
      </c>
      <c r="M33" s="108"/>
      <c r="N33" s="108"/>
      <c r="O33" s="108"/>
      <c r="P33" s="56" t="s">
        <v>169</v>
      </c>
      <c r="Q33" s="56" t="s">
        <v>110</v>
      </c>
      <c r="R33" s="72"/>
      <c r="S33" s="448"/>
      <c r="T33" s="347"/>
    </row>
    <row r="34" spans="1:20" ht="56.55" customHeight="1">
      <c r="B34" s="56" t="str">
        <f t="shared" si="0"/>
        <v>PI_0028</v>
      </c>
      <c r="C34" s="56"/>
      <c r="D34" s="66">
        <v>45111</v>
      </c>
      <c r="E34" s="56"/>
      <c r="F34" s="344" t="s">
        <v>170</v>
      </c>
      <c r="G34" s="344" t="s">
        <v>2323</v>
      </c>
      <c r="H34" s="56" t="s">
        <v>26</v>
      </c>
      <c r="I34" s="56">
        <v>3</v>
      </c>
      <c r="J34" s="56">
        <v>3</v>
      </c>
      <c r="K34" s="89" t="str">
        <f>IFERROR(VLOOKUP(CONCATENATE(Issues_table[[#This Row],[Priority]],Issues_table[[#This Row],[Severity]]),'Issue data'!$A$2:$B$10,2,FALSE),"")</f>
        <v>Low</v>
      </c>
      <c r="L34" s="108" t="s">
        <v>171</v>
      </c>
      <c r="M34" s="108" t="s">
        <v>41</v>
      </c>
      <c r="N34" s="108"/>
      <c r="O34" s="108"/>
      <c r="P34" s="56" t="s">
        <v>109</v>
      </c>
      <c r="Q34" s="56" t="s">
        <v>114</v>
      </c>
      <c r="R34" s="72"/>
      <c r="S34" s="448"/>
    </row>
    <row r="35" spans="1:20" ht="41.85" hidden="1" customHeight="1">
      <c r="B35" s="56" t="str">
        <f t="shared" si="0"/>
        <v>PI_0029</v>
      </c>
      <c r="C35" s="342"/>
      <c r="D35" s="575">
        <v>45111</v>
      </c>
      <c r="E35" s="342"/>
      <c r="F35" s="344" t="s">
        <v>172</v>
      </c>
      <c r="G35" s="344"/>
      <c r="H35" s="56" t="s">
        <v>26</v>
      </c>
      <c r="I35" s="56"/>
      <c r="J35" s="56"/>
      <c r="K35" s="89" t="str">
        <f>IFERROR(VLOOKUP(CONCATENATE(Issues_table[[#This Row],[Priority]],Issues_table[[#This Row],[Severity]]),'Issue data'!$A$2:$B$10,2,FALSE),"")</f>
        <v/>
      </c>
      <c r="L35" s="105" t="s">
        <v>173</v>
      </c>
      <c r="M35" s="105"/>
      <c r="N35" s="105"/>
      <c r="O35" s="105"/>
      <c r="P35" s="56" t="s">
        <v>174</v>
      </c>
      <c r="Q35" s="56" t="s">
        <v>110</v>
      </c>
      <c r="R35" s="72"/>
      <c r="S35" s="509"/>
    </row>
    <row r="36" spans="1:20" ht="96.6" hidden="1">
      <c r="B36" s="56" t="str">
        <f t="shared" si="0"/>
        <v>PI_0030</v>
      </c>
      <c r="C36" s="56"/>
      <c r="D36" s="66">
        <v>45111</v>
      </c>
      <c r="E36" s="56"/>
      <c r="F36" s="344" t="s">
        <v>175</v>
      </c>
      <c r="G36" s="344"/>
      <c r="H36" s="56" t="s">
        <v>126</v>
      </c>
      <c r="I36" s="56"/>
      <c r="J36" s="56"/>
      <c r="K36" s="89" t="str">
        <f>IFERROR(VLOOKUP(CONCATENATE(Issues_table[[#This Row],[Priority]],Issues_table[[#This Row],[Severity]]),'Issue data'!$A$2:$B$10,2,FALSE),"")</f>
        <v/>
      </c>
      <c r="L36" s="106" t="s">
        <v>176</v>
      </c>
      <c r="M36" s="106"/>
      <c r="N36" s="106"/>
      <c r="O36" s="106"/>
      <c r="P36" s="56" t="s">
        <v>177</v>
      </c>
      <c r="Q36" s="56" t="s">
        <v>110</v>
      </c>
      <c r="R36" s="72"/>
      <c r="S36" s="507"/>
    </row>
    <row r="37" spans="1:20" ht="165.6" hidden="1">
      <c r="B37" s="56" t="str">
        <f t="shared" si="0"/>
        <v>PI_0031</v>
      </c>
      <c r="C37" s="56"/>
      <c r="D37" s="66">
        <v>45114</v>
      </c>
      <c r="E37" s="56"/>
      <c r="F37" s="344" t="s">
        <v>178</v>
      </c>
      <c r="G37" s="344"/>
      <c r="H37" s="56" t="s">
        <v>41</v>
      </c>
      <c r="I37" s="56"/>
      <c r="J37" s="56"/>
      <c r="K37" s="89" t="str">
        <f>IFERROR(VLOOKUP(CONCATENATE(Issues_table[[#This Row],[Priority]],Issues_table[[#This Row],[Severity]]),'Issue data'!$A$2:$B$10,2,FALSE),"")</f>
        <v/>
      </c>
      <c r="L37" s="106" t="s">
        <v>179</v>
      </c>
      <c r="M37" s="106"/>
      <c r="N37" s="106"/>
      <c r="O37" s="106"/>
      <c r="P37" s="56" t="s">
        <v>138</v>
      </c>
      <c r="Q37" s="56" t="s">
        <v>110</v>
      </c>
      <c r="R37" s="72"/>
      <c r="S37" s="507"/>
    </row>
    <row r="38" spans="1:20" ht="55.35" hidden="1" customHeight="1">
      <c r="B38" s="56" t="str">
        <f t="shared" si="0"/>
        <v>PI_0032</v>
      </c>
      <c r="C38" s="56"/>
      <c r="D38" s="66">
        <v>45128</v>
      </c>
      <c r="E38" s="56"/>
      <c r="F38" s="348" t="s">
        <v>180</v>
      </c>
      <c r="G38" s="348"/>
      <c r="H38" s="56" t="s">
        <v>181</v>
      </c>
      <c r="I38" s="56"/>
      <c r="J38" s="56"/>
      <c r="K38" s="89" t="str">
        <f>IFERROR(VLOOKUP(CONCATENATE(Issues_table[[#This Row],[Priority]],Issues_table[[#This Row],[Severity]]),'Issue data'!$A$2:$B$10,2,FALSE),"")</f>
        <v/>
      </c>
      <c r="L38" s="109" t="s">
        <v>182</v>
      </c>
      <c r="M38" s="109"/>
      <c r="N38" s="109"/>
      <c r="O38" s="109"/>
      <c r="P38" s="56" t="s">
        <v>138</v>
      </c>
      <c r="Q38" s="56" t="s">
        <v>110</v>
      </c>
      <c r="R38" s="72"/>
      <c r="S38" s="507"/>
    </row>
    <row r="39" spans="1:20" ht="110.4" hidden="1">
      <c r="B39" s="56" t="str">
        <f t="shared" si="0"/>
        <v>PI_0033</v>
      </c>
      <c r="C39" s="56"/>
      <c r="D39" s="66">
        <v>45152</v>
      </c>
      <c r="E39" s="56"/>
      <c r="F39" s="344" t="s">
        <v>183</v>
      </c>
      <c r="G39" s="344"/>
      <c r="H39" s="56" t="s">
        <v>184</v>
      </c>
      <c r="I39" s="56"/>
      <c r="J39" s="56"/>
      <c r="K39" s="89" t="str">
        <f>IFERROR(VLOOKUP(CONCATENATE(Issues_table[[#This Row],[Priority]],Issues_table[[#This Row],[Severity]]),'Issue data'!$A$2:$B$10,2,FALSE),"")</f>
        <v/>
      </c>
      <c r="L39" s="106" t="s">
        <v>185</v>
      </c>
      <c r="M39" s="106"/>
      <c r="N39" s="106"/>
      <c r="O39" s="106"/>
      <c r="P39" s="56" t="s">
        <v>138</v>
      </c>
      <c r="Q39" s="56" t="s">
        <v>110</v>
      </c>
      <c r="R39" s="72"/>
      <c r="S39" s="507"/>
    </row>
    <row r="40" spans="1:20" ht="27.75" hidden="1" customHeight="1">
      <c r="B40" s="56" t="str">
        <f t="shared" si="0"/>
        <v>PI_0034</v>
      </c>
      <c r="C40" s="56"/>
      <c r="D40" s="66">
        <v>45153</v>
      </c>
      <c r="E40" s="56"/>
      <c r="F40" s="344" t="s">
        <v>186</v>
      </c>
      <c r="G40" s="344"/>
      <c r="H40" s="56" t="s">
        <v>43</v>
      </c>
      <c r="I40" s="56"/>
      <c r="J40" s="56"/>
      <c r="K40" s="89" t="str">
        <f>IFERROR(VLOOKUP(CONCATENATE(Issues_table[[#This Row],[Priority]],Issues_table[[#This Row],[Severity]]),'Issue data'!$A$2:$B$10,2,FALSE),"")</f>
        <v/>
      </c>
      <c r="L40" s="104" t="s">
        <v>187</v>
      </c>
      <c r="M40" s="104"/>
      <c r="N40" s="104"/>
      <c r="O40" s="104"/>
      <c r="P40" s="56" t="s">
        <v>138</v>
      </c>
      <c r="Q40" s="56" t="s">
        <v>110</v>
      </c>
      <c r="R40" s="72"/>
      <c r="S40" s="448"/>
    </row>
    <row r="41" spans="1:20" ht="32.85" hidden="1" customHeight="1">
      <c r="B41" s="56" t="str">
        <f t="shared" si="0"/>
        <v>PI_0035</v>
      </c>
      <c r="C41" s="56"/>
      <c r="D41" s="66">
        <v>45181</v>
      </c>
      <c r="E41" s="56"/>
      <c r="F41" s="349" t="s">
        <v>188</v>
      </c>
      <c r="G41" s="349"/>
      <c r="H41" s="56" t="s">
        <v>184</v>
      </c>
      <c r="I41" s="56"/>
      <c r="J41" s="56"/>
      <c r="K41" s="89" t="str">
        <f>IFERROR(VLOOKUP(CONCATENATE(Issues_table[[#This Row],[Priority]],Issues_table[[#This Row],[Severity]]),'Issue data'!$A$2:$B$10,2,FALSE),"")</f>
        <v/>
      </c>
      <c r="L41" s="106" t="s">
        <v>189</v>
      </c>
      <c r="M41" s="106"/>
      <c r="N41" s="106"/>
      <c r="O41" s="106"/>
      <c r="P41" s="56" t="s">
        <v>177</v>
      </c>
      <c r="Q41" s="56" t="s">
        <v>110</v>
      </c>
      <c r="R41" s="72"/>
      <c r="S41" s="507"/>
    </row>
    <row r="42" spans="1:20" ht="73.349999999999994" customHeight="1">
      <c r="B42" s="56" t="str">
        <f t="shared" si="0"/>
        <v>PI_0036</v>
      </c>
      <c r="C42" s="56"/>
      <c r="D42" s="66">
        <v>45191</v>
      </c>
      <c r="E42" s="56"/>
      <c r="F42" s="344" t="s">
        <v>190</v>
      </c>
      <c r="G42" s="344"/>
      <c r="H42" s="56" t="s">
        <v>34</v>
      </c>
      <c r="I42" s="56">
        <v>3</v>
      </c>
      <c r="J42" s="56">
        <v>3</v>
      </c>
      <c r="K42" s="89" t="str">
        <f>IFERROR(VLOOKUP(CONCATENATE(Issues_table[[#This Row],[Priority]],Issues_table[[#This Row],[Severity]]),'Issue data'!$A$2:$B$10,2,FALSE),"")</f>
        <v>Low</v>
      </c>
      <c r="L42" s="108" t="s">
        <v>191</v>
      </c>
      <c r="M42" s="108" t="s">
        <v>2324</v>
      </c>
      <c r="N42" s="108"/>
      <c r="O42" s="108"/>
      <c r="P42" s="56" t="s">
        <v>109</v>
      </c>
      <c r="Q42" s="56" t="s">
        <v>114</v>
      </c>
      <c r="R42" s="72"/>
      <c r="S42" s="507"/>
    </row>
    <row r="43" spans="1:20" ht="124.2" hidden="1">
      <c r="A43" s="57" t="s">
        <v>31</v>
      </c>
      <c r="B43" s="56" t="str">
        <f t="shared" si="0"/>
        <v>PI_0037</v>
      </c>
      <c r="C43" s="342"/>
      <c r="D43" s="575">
        <v>45245</v>
      </c>
      <c r="E43" s="342"/>
      <c r="F43" s="344" t="s">
        <v>192</v>
      </c>
      <c r="G43" s="344"/>
      <c r="H43" s="56" t="s">
        <v>26</v>
      </c>
      <c r="I43" s="56"/>
      <c r="J43" s="56"/>
      <c r="K43" s="89" t="str">
        <f>IFERROR(VLOOKUP(CONCATENATE(Issues_table[[#This Row],[Priority]],Issues_table[[#This Row],[Severity]]),'Issue data'!$A$2:$B$10,2,FALSE),"")</f>
        <v/>
      </c>
      <c r="L43" s="56" t="s">
        <v>193</v>
      </c>
      <c r="M43" s="56"/>
      <c r="N43" s="56"/>
      <c r="O43" s="56"/>
      <c r="P43" s="56" t="s">
        <v>194</v>
      </c>
      <c r="Q43" s="56" t="s">
        <v>110</v>
      </c>
      <c r="R43" s="72"/>
      <c r="S43" s="507"/>
    </row>
    <row r="44" spans="1:20" ht="74.25" hidden="1" customHeight="1">
      <c r="B44" s="56" t="str">
        <f t="shared" si="0"/>
        <v>PI_0038</v>
      </c>
      <c r="C44" s="56"/>
      <c r="D44" s="66">
        <v>45268</v>
      </c>
      <c r="E44" s="56"/>
      <c r="F44" s="106" t="s">
        <v>195</v>
      </c>
      <c r="G44" s="106"/>
      <c r="H44" s="56" t="s">
        <v>43</v>
      </c>
      <c r="I44" s="56"/>
      <c r="J44" s="56"/>
      <c r="K44" s="89" t="str">
        <f>IFERROR(VLOOKUP(CONCATENATE(Issues_table[[#This Row],[Priority]],Issues_table[[#This Row],[Severity]]),'Issue data'!$A$2:$B$10,2,FALSE),"")</f>
        <v/>
      </c>
      <c r="L44" s="56" t="s">
        <v>197</v>
      </c>
      <c r="M44" s="56"/>
      <c r="N44" s="56"/>
      <c r="O44" s="56"/>
      <c r="P44" s="56" t="s">
        <v>194</v>
      </c>
      <c r="Q44" s="56" t="s">
        <v>110</v>
      </c>
      <c r="R44" s="72"/>
      <c r="S44" s="507"/>
    </row>
    <row r="45" spans="1:20" ht="108.75" hidden="1" customHeight="1">
      <c r="B45" s="56" t="str">
        <f t="shared" si="0"/>
        <v>PI_0039</v>
      </c>
      <c r="C45" s="56"/>
      <c r="D45" s="66">
        <v>45337</v>
      </c>
      <c r="E45" s="56"/>
      <c r="F45" s="343" t="s">
        <v>198</v>
      </c>
      <c r="G45" s="343"/>
      <c r="H45" s="56" t="s">
        <v>26</v>
      </c>
      <c r="I45" s="56"/>
      <c r="J45" s="56"/>
      <c r="K45" s="89" t="str">
        <f>IFERROR(VLOOKUP(CONCATENATE(Issues_table[[#This Row],[Priority]],Issues_table[[#This Row],[Severity]]),'Issue data'!$A$2:$B$10,2,FALSE),"")</f>
        <v/>
      </c>
      <c r="L45" s="56" t="s">
        <v>199</v>
      </c>
      <c r="M45" s="56"/>
      <c r="N45" s="56"/>
      <c r="O45" s="56"/>
      <c r="P45" s="56" t="s">
        <v>38</v>
      </c>
      <c r="Q45" s="56" t="s">
        <v>110</v>
      </c>
      <c r="R45" s="72"/>
      <c r="S45" s="507"/>
    </row>
    <row r="46" spans="1:20" ht="123.75" hidden="1" customHeight="1">
      <c r="B46" s="56" t="str">
        <f t="shared" si="0"/>
        <v>PI_0040</v>
      </c>
      <c r="C46" s="56"/>
      <c r="D46" s="66">
        <v>45432</v>
      </c>
      <c r="E46" s="56"/>
      <c r="F46" s="344" t="s">
        <v>200</v>
      </c>
      <c r="G46" s="344"/>
      <c r="H46" s="56" t="s">
        <v>43</v>
      </c>
      <c r="I46" s="56"/>
      <c r="J46" s="56"/>
      <c r="K46" s="89" t="str">
        <f>IFERROR(VLOOKUP(CONCATENATE(Issues_table[[#This Row],[Priority]],Issues_table[[#This Row],[Severity]]),'Issue data'!$A$2:$B$10,2,FALSE),"")</f>
        <v/>
      </c>
      <c r="L46" s="127" t="s">
        <v>201</v>
      </c>
      <c r="M46" s="127"/>
      <c r="N46" s="127"/>
      <c r="O46" s="127"/>
      <c r="P46" s="56" t="s">
        <v>109</v>
      </c>
      <c r="Q46" s="56" t="s">
        <v>110</v>
      </c>
      <c r="R46" s="72"/>
      <c r="S46" s="507"/>
    </row>
    <row r="47" spans="1:20" ht="39.75" hidden="1" customHeight="1">
      <c r="B47" s="56" t="str">
        <f t="shared" si="0"/>
        <v>PI_0041</v>
      </c>
      <c r="C47" s="56"/>
      <c r="D47" s="66">
        <v>45511</v>
      </c>
      <c r="E47" s="56"/>
      <c r="F47" s="344" t="s">
        <v>202</v>
      </c>
      <c r="G47" s="344"/>
      <c r="H47" s="56" t="s">
        <v>203</v>
      </c>
      <c r="I47" s="56"/>
      <c r="J47" s="56"/>
      <c r="K47" s="89" t="str">
        <f>IFERROR(VLOOKUP(CONCATENATE(Issues_table[[#This Row],[Priority]],Issues_table[[#This Row],[Severity]]),'Issue data'!$A$2:$B$10,2,FALSE),"")</f>
        <v/>
      </c>
      <c r="L47" s="128" t="s">
        <v>204</v>
      </c>
      <c r="M47" s="128"/>
      <c r="N47" s="128"/>
      <c r="O47" s="128"/>
      <c r="P47" s="56" t="s">
        <v>169</v>
      </c>
      <c r="Q47" s="56" t="s">
        <v>110</v>
      </c>
      <c r="R47" s="72"/>
      <c r="S47" s="507"/>
    </row>
    <row r="48" spans="1:20" ht="55.2">
      <c r="B48" s="56" t="str">
        <f t="shared" si="0"/>
        <v>PI_0042</v>
      </c>
      <c r="C48" s="56"/>
      <c r="D48" s="66">
        <v>45534</v>
      </c>
      <c r="E48" s="56"/>
      <c r="F48" s="344" t="s">
        <v>205</v>
      </c>
      <c r="G48" s="344"/>
      <c r="H48" s="56" t="s">
        <v>34</v>
      </c>
      <c r="I48" s="56">
        <v>2</v>
      </c>
      <c r="J48" s="56">
        <v>2</v>
      </c>
      <c r="K48" s="89" t="str">
        <f>IFERROR(VLOOKUP(CONCATENATE(Issues_table[[#This Row],[Priority]],Issues_table[[#This Row],[Severity]]),'Issue data'!$A$2:$B$10,2,FALSE),"")</f>
        <v>Medium</v>
      </c>
      <c r="L48" s="129" t="s">
        <v>206</v>
      </c>
      <c r="M48" s="108" t="s">
        <v>2325</v>
      </c>
      <c r="N48" s="129"/>
      <c r="O48" s="129"/>
      <c r="P48" s="56" t="s">
        <v>109</v>
      </c>
      <c r="Q48" s="56" t="s">
        <v>114</v>
      </c>
      <c r="R48" s="72"/>
      <c r="S48" s="507"/>
    </row>
    <row r="49" spans="2:19" ht="69" hidden="1">
      <c r="B49" s="56" t="str">
        <f t="shared" si="0"/>
        <v>PI_0043</v>
      </c>
      <c r="C49" s="342"/>
      <c r="D49" s="575">
        <v>45551</v>
      </c>
      <c r="E49" s="342"/>
      <c r="F49" s="344" t="s">
        <v>208</v>
      </c>
      <c r="G49" s="344"/>
      <c r="H49" s="56" t="s">
        <v>26</v>
      </c>
      <c r="I49" s="56"/>
      <c r="J49" s="56"/>
      <c r="K49" s="89" t="str">
        <f>IFERROR(VLOOKUP(CONCATENATE(Issues_table[[#This Row],[Priority]],Issues_table[[#This Row],[Severity]]),'Issue data'!$A$2:$B$10,2,FALSE),"")</f>
        <v/>
      </c>
      <c r="L49" s="105" t="s">
        <v>209</v>
      </c>
      <c r="M49" s="105"/>
      <c r="N49" s="105"/>
      <c r="O49" s="105"/>
      <c r="P49" s="56" t="s">
        <v>138</v>
      </c>
      <c r="Q49" s="56" t="s">
        <v>110</v>
      </c>
      <c r="R49" s="72"/>
      <c r="S49" s="507"/>
    </row>
    <row r="50" spans="2:19" ht="151.80000000000001">
      <c r="B50" s="56" t="str">
        <f t="shared" si="0"/>
        <v>PI_0044</v>
      </c>
      <c r="C50" s="56"/>
      <c r="D50" s="66">
        <v>45562</v>
      </c>
      <c r="E50" s="56"/>
      <c r="F50" s="350" t="s">
        <v>210</v>
      </c>
      <c r="G50" s="350"/>
      <c r="H50" s="56" t="s">
        <v>34</v>
      </c>
      <c r="I50" s="56">
        <v>2</v>
      </c>
      <c r="J50" s="56">
        <v>2</v>
      </c>
      <c r="K50" s="89" t="str">
        <f>IFERROR(VLOOKUP(CONCATENATE(Issues_table[[#This Row],[Priority]],Issues_table[[#This Row],[Severity]]),'Issue data'!$A$2:$B$10,2,FALSE),"")</f>
        <v>Medium</v>
      </c>
      <c r="L50" s="108" t="s">
        <v>2408</v>
      </c>
      <c r="M50" s="108" t="s">
        <v>2325</v>
      </c>
      <c r="N50" s="108"/>
      <c r="O50" s="108"/>
      <c r="P50" s="56" t="s">
        <v>109</v>
      </c>
      <c r="Q50" s="56" t="s">
        <v>114</v>
      </c>
      <c r="R50" s="72"/>
      <c r="S50" s="507"/>
    </row>
    <row r="51" spans="2:19" ht="96.6" hidden="1">
      <c r="B51" s="56" t="str">
        <f t="shared" si="0"/>
        <v>PI_0045</v>
      </c>
      <c r="C51" s="56"/>
      <c r="D51" s="66">
        <v>45562</v>
      </c>
      <c r="E51" s="56"/>
      <c r="F51" s="350" t="s">
        <v>211</v>
      </c>
      <c r="G51" s="350"/>
      <c r="H51" s="56" t="s">
        <v>34</v>
      </c>
      <c r="I51" s="56">
        <v>0</v>
      </c>
      <c r="J51" s="56">
        <v>0</v>
      </c>
      <c r="K51" s="89" t="str">
        <f>IFERROR(VLOOKUP(CONCATENATE(Issues_table[[#This Row],[Priority]],Issues_table[[#This Row],[Severity]]),'Issue data'!$A$2:$B$10,2,FALSE),"")</f>
        <v/>
      </c>
      <c r="L51" s="352" t="s">
        <v>385</v>
      </c>
      <c r="M51" s="664" t="s">
        <v>161</v>
      </c>
      <c r="N51" s="664" t="s">
        <v>2411</v>
      </c>
      <c r="O51" s="352"/>
      <c r="P51" s="56" t="s">
        <v>109</v>
      </c>
      <c r="Q51" s="56" t="s">
        <v>110</v>
      </c>
      <c r="R51" s="72"/>
      <c r="S51" s="507" t="s">
        <v>1383</v>
      </c>
    </row>
    <row r="52" spans="2:19" ht="55.2" hidden="1">
      <c r="B52" s="56" t="s">
        <v>212</v>
      </c>
      <c r="C52" s="342"/>
      <c r="D52" s="575">
        <v>45575</v>
      </c>
      <c r="E52" s="342"/>
      <c r="F52" s="344" t="s">
        <v>213</v>
      </c>
      <c r="G52" s="344"/>
      <c r="H52" s="351" t="s">
        <v>43</v>
      </c>
      <c r="I52" s="56"/>
      <c r="J52" s="56"/>
      <c r="K52" s="89" t="str">
        <f>IFERROR(VLOOKUP(CONCATENATE(Issues_table[[#This Row],[Priority]],Issues_table[[#This Row],[Severity]]),'Issue data'!$A$2:$B$10,2,FALSE),"")</f>
        <v/>
      </c>
      <c r="L52" s="108" t="s">
        <v>214</v>
      </c>
      <c r="M52" s="108"/>
      <c r="N52" s="108"/>
      <c r="O52" s="108"/>
      <c r="P52" s="56"/>
      <c r="Q52" s="56" t="s">
        <v>110</v>
      </c>
      <c r="R52" s="72"/>
      <c r="S52" s="507"/>
    </row>
    <row r="53" spans="2:19" ht="55.2">
      <c r="B53" s="56" t="str">
        <f t="shared" si="0"/>
        <v>PI_0047</v>
      </c>
      <c r="C53" s="56"/>
      <c r="D53" s="66">
        <v>45761</v>
      </c>
      <c r="E53" s="56"/>
      <c r="F53" s="344" t="s">
        <v>2385</v>
      </c>
      <c r="G53" s="344"/>
      <c r="H53" s="56" t="s">
        <v>26</v>
      </c>
      <c r="I53" s="56">
        <v>2</v>
      </c>
      <c r="J53" s="56">
        <v>2</v>
      </c>
      <c r="K53" s="89" t="str">
        <f>IFERROR(VLOOKUP(CONCATENATE(Issues_table[[#This Row],[Priority]],Issues_table[[#This Row],[Severity]]),'Issue data'!$A$2:$B$10,2,FALSE),"")</f>
        <v>Medium</v>
      </c>
      <c r="L53" s="56" t="s">
        <v>1384</v>
      </c>
      <c r="M53" s="56" t="s">
        <v>2326</v>
      </c>
      <c r="N53" s="56"/>
      <c r="O53" s="56"/>
      <c r="P53" s="56" t="s">
        <v>109</v>
      </c>
      <c r="Q53" s="56" t="s">
        <v>114</v>
      </c>
      <c r="R53" s="72"/>
      <c r="S53" s="507"/>
    </row>
    <row r="54" spans="2:19" ht="151.80000000000001">
      <c r="B54" s="68" t="str">
        <f t="shared" si="0"/>
        <v>PI_0048</v>
      </c>
      <c r="C54" s="56"/>
      <c r="D54" s="66">
        <v>45866</v>
      </c>
      <c r="E54" s="56"/>
      <c r="F54" s="344" t="s">
        <v>1385</v>
      </c>
      <c r="G54" s="344"/>
      <c r="H54" s="56" t="s">
        <v>34</v>
      </c>
      <c r="I54" s="56">
        <v>2</v>
      </c>
      <c r="J54" s="56">
        <v>2</v>
      </c>
      <c r="K54" s="89" t="str">
        <f>IFERROR(VLOOKUP(CONCATENATE(Issues_table[[#This Row],[Priority]],Issues_table[[#This Row],[Severity]]),'Issue data'!$A$2:$B$10,2,FALSE),"")</f>
        <v>Medium</v>
      </c>
      <c r="L54" s="56" t="s">
        <v>1386</v>
      </c>
      <c r="M54" s="56" t="s">
        <v>61</v>
      </c>
      <c r="N54" s="56"/>
      <c r="O54" s="56"/>
      <c r="P54" s="56"/>
      <c r="Q54" s="56" t="s">
        <v>207</v>
      </c>
      <c r="R54" s="72"/>
      <c r="S54" s="507"/>
    </row>
    <row r="55" spans="2:19" ht="85.05" customHeight="1">
      <c r="B55" s="68" t="str">
        <f t="shared" si="0"/>
        <v>PI_0049</v>
      </c>
      <c r="C55" s="56" t="s">
        <v>1387</v>
      </c>
      <c r="D55" s="66">
        <v>45866</v>
      </c>
      <c r="E55" s="56"/>
      <c r="F55" s="344" t="s">
        <v>1388</v>
      </c>
      <c r="G55" s="344"/>
      <c r="H55" s="56" t="s">
        <v>2327</v>
      </c>
      <c r="I55" s="56">
        <v>2</v>
      </c>
      <c r="J55" s="56">
        <v>2</v>
      </c>
      <c r="K55" s="89" t="str">
        <f>IFERROR(VLOOKUP(CONCATENATE(Issues_table[[#This Row],[Priority]],Issues_table[[#This Row],[Severity]]),'Issue data'!$A$2:$B$10,2,FALSE),"")</f>
        <v>Medium</v>
      </c>
      <c r="L55" s="56" t="s">
        <v>1389</v>
      </c>
      <c r="M55" s="56" t="s">
        <v>61</v>
      </c>
      <c r="N55" s="56"/>
      <c r="O55" s="56"/>
      <c r="P55" s="56"/>
      <c r="Q55" s="56" t="s">
        <v>207</v>
      </c>
      <c r="R55" s="72"/>
      <c r="S55" s="507"/>
    </row>
    <row r="56" spans="2:19" ht="82.8">
      <c r="B56" s="56" t="str">
        <f t="shared" si="0"/>
        <v>PI_0050</v>
      </c>
      <c r="C56" s="56" t="s">
        <v>1390</v>
      </c>
      <c r="D56" s="66">
        <v>45896</v>
      </c>
      <c r="E56" s="56"/>
      <c r="F56" s="381" t="s">
        <v>2328</v>
      </c>
      <c r="G56" s="344"/>
      <c r="H56" s="56" t="s">
        <v>26</v>
      </c>
      <c r="I56" s="56">
        <v>2</v>
      </c>
      <c r="J56" s="56">
        <v>2</v>
      </c>
      <c r="K56" s="89" t="str">
        <f>IFERROR(VLOOKUP(CONCATENATE(Issues_table[[#This Row],[Priority]],Issues_table[[#This Row],[Severity]]),'Issue data'!$A$2:$B$10,2,FALSE),"")</f>
        <v>Medium</v>
      </c>
      <c r="L56" s="354" t="s">
        <v>28</v>
      </c>
      <c r="M56" s="56" t="s">
        <v>41</v>
      </c>
      <c r="N56" s="56"/>
      <c r="O56" s="56"/>
      <c r="P56" s="56"/>
      <c r="Q56" s="56" t="s">
        <v>114</v>
      </c>
      <c r="R56" s="72"/>
      <c r="S56" s="507"/>
    </row>
    <row r="57" spans="2:19" ht="96.6">
      <c r="B57" s="56" t="str">
        <f t="shared" si="0"/>
        <v>PI_0051</v>
      </c>
      <c r="C57" s="56" t="s">
        <v>1391</v>
      </c>
      <c r="D57" s="66">
        <v>45896</v>
      </c>
      <c r="E57" s="56"/>
      <c r="F57" s="381" t="s">
        <v>2388</v>
      </c>
      <c r="G57" s="344"/>
      <c r="H57" s="56" t="s">
        <v>41</v>
      </c>
      <c r="I57" s="56">
        <v>2</v>
      </c>
      <c r="J57" s="56">
        <v>3</v>
      </c>
      <c r="K57" s="89" t="str">
        <f>IFERROR(VLOOKUP(CONCATENATE(Issues_table[[#This Row],[Priority]],Issues_table[[#This Row],[Severity]]),'Issue data'!$A$2:$B$10,2,FALSE),"")</f>
        <v>Low</v>
      </c>
      <c r="L57" s="354" t="s">
        <v>1393</v>
      </c>
      <c r="M57" s="56" t="s">
        <v>2324</v>
      </c>
      <c r="N57" s="56"/>
      <c r="O57" s="56"/>
      <c r="P57" s="56"/>
      <c r="Q57" s="56" t="s">
        <v>114</v>
      </c>
      <c r="R57" s="72"/>
      <c r="S57" s="507"/>
    </row>
    <row r="58" spans="2:19" ht="83.1" customHeight="1">
      <c r="B58" s="56" t="str">
        <f t="shared" si="0"/>
        <v>PI_0052</v>
      </c>
      <c r="C58" s="56" t="s">
        <v>1394</v>
      </c>
      <c r="D58" s="66">
        <v>45896</v>
      </c>
      <c r="E58" s="56"/>
      <c r="F58" s="381" t="s">
        <v>2389</v>
      </c>
      <c r="G58" s="344"/>
      <c r="H58" s="56" t="s">
        <v>26</v>
      </c>
      <c r="I58" s="56">
        <v>2</v>
      </c>
      <c r="J58" s="56">
        <v>3</v>
      </c>
      <c r="K58" s="89" t="str">
        <f>IFERROR(VLOOKUP(CONCATENATE(Issues_table[[#This Row],[Priority]],Issues_table[[#This Row],[Severity]]),'Issue data'!$A$2:$B$10,2,FALSE),"")</f>
        <v>Low</v>
      </c>
      <c r="L58" s="354" t="s">
        <v>1396</v>
      </c>
      <c r="M58" s="56" t="s">
        <v>2324</v>
      </c>
      <c r="N58" s="56"/>
      <c r="O58" s="56"/>
      <c r="P58" s="56"/>
      <c r="Q58" s="56" t="s">
        <v>207</v>
      </c>
      <c r="R58" s="72"/>
      <c r="S58" s="507"/>
    </row>
    <row r="59" spans="2:19" ht="96.6" hidden="1">
      <c r="B59" s="56" t="str">
        <f t="shared" si="0"/>
        <v>PI_0053</v>
      </c>
      <c r="C59" s="56" t="s">
        <v>1397</v>
      </c>
      <c r="D59" s="66">
        <v>45896</v>
      </c>
      <c r="E59" s="56"/>
      <c r="F59" s="381" t="s">
        <v>2390</v>
      </c>
      <c r="G59" s="344"/>
      <c r="H59" s="56" t="s">
        <v>26</v>
      </c>
      <c r="I59" s="56">
        <v>0</v>
      </c>
      <c r="J59" s="56">
        <v>0</v>
      </c>
      <c r="K59" s="89" t="str">
        <f>IFERROR(VLOOKUP(CONCATENATE(Issues_table[[#This Row],[Priority]],Issues_table[[#This Row],[Severity]]),'Issue data'!$A$2:$B$10,2,FALSE),"")</f>
        <v/>
      </c>
      <c r="L59" s="354" t="s">
        <v>1399</v>
      </c>
      <c r="M59" s="56" t="s">
        <v>2324</v>
      </c>
      <c r="N59" s="664" t="s">
        <v>2411</v>
      </c>
      <c r="O59" s="56"/>
      <c r="P59" s="56"/>
      <c r="Q59" s="56" t="s">
        <v>110</v>
      </c>
      <c r="R59" s="72"/>
      <c r="S59" s="507" t="s">
        <v>360</v>
      </c>
    </row>
    <row r="60" spans="2:19" ht="110.4" hidden="1">
      <c r="B60" s="56" t="str">
        <f t="shared" si="0"/>
        <v>PI_0054</v>
      </c>
      <c r="C60" s="56" t="s">
        <v>1400</v>
      </c>
      <c r="D60" s="66">
        <v>45896</v>
      </c>
      <c r="E60" s="56"/>
      <c r="F60" s="381" t="s">
        <v>1401</v>
      </c>
      <c r="G60" s="344"/>
      <c r="H60" s="56" t="s">
        <v>26</v>
      </c>
      <c r="I60" s="56"/>
      <c r="J60" s="56"/>
      <c r="K60" s="89" t="str">
        <f>IFERROR(VLOOKUP(CONCATENATE(Issues_table[[#This Row],[Priority]],Issues_table[[#This Row],[Severity]]),'Issue data'!$A$2:$B$10,2,FALSE),"")</f>
        <v/>
      </c>
      <c r="L60" s="354" t="s">
        <v>1402</v>
      </c>
      <c r="M60" s="56" t="s">
        <v>161</v>
      </c>
      <c r="N60" s="56"/>
      <c r="O60" s="56"/>
      <c r="P60" s="56"/>
      <c r="Q60" s="56" t="s">
        <v>110</v>
      </c>
      <c r="R60" s="72"/>
      <c r="S60" s="507"/>
    </row>
    <row r="61" spans="2:19" ht="55.2" hidden="1">
      <c r="B61" s="56" t="str">
        <f t="shared" si="0"/>
        <v>PI_0055</v>
      </c>
      <c r="C61" s="56" t="s">
        <v>1403</v>
      </c>
      <c r="D61" s="66">
        <v>45896</v>
      </c>
      <c r="E61" s="56"/>
      <c r="F61" s="381" t="s">
        <v>1404</v>
      </c>
      <c r="G61" s="344"/>
      <c r="H61" s="56" t="s">
        <v>26</v>
      </c>
      <c r="I61" s="56"/>
      <c r="J61" s="56"/>
      <c r="K61" s="89" t="str">
        <f>IFERROR(VLOOKUP(CONCATENATE(Issues_table[[#This Row],[Priority]],Issues_table[[#This Row],[Severity]]),'Issue data'!$A$2:$B$10,2,FALSE),"")</f>
        <v/>
      </c>
      <c r="L61" s="354" t="s">
        <v>1405</v>
      </c>
      <c r="M61" s="56" t="s">
        <v>41</v>
      </c>
      <c r="N61" s="56"/>
      <c r="O61" s="56"/>
      <c r="P61" s="56"/>
      <c r="Q61" s="56" t="s">
        <v>110</v>
      </c>
      <c r="R61" s="72"/>
      <c r="S61" s="507"/>
    </row>
    <row r="62" spans="2:19" ht="151.80000000000001" hidden="1">
      <c r="B62" s="56" t="str">
        <f t="shared" si="0"/>
        <v>PI_0056</v>
      </c>
      <c r="C62" s="56" t="s">
        <v>1406</v>
      </c>
      <c r="D62" s="66">
        <v>45896</v>
      </c>
      <c r="E62" s="56"/>
      <c r="F62" s="381" t="s">
        <v>1407</v>
      </c>
      <c r="G62" s="344"/>
      <c r="H62" s="56" t="s">
        <v>26</v>
      </c>
      <c r="I62" s="56"/>
      <c r="J62" s="56"/>
      <c r="K62" s="89" t="str">
        <f>IFERROR(VLOOKUP(CONCATENATE(Issues_table[[#This Row],[Priority]],Issues_table[[#This Row],[Severity]]),'Issue data'!$A$2:$B$10,2,FALSE),"")</f>
        <v/>
      </c>
      <c r="L62" s="354" t="s">
        <v>1408</v>
      </c>
      <c r="M62" s="56" t="s">
        <v>161</v>
      </c>
      <c r="N62" s="56"/>
      <c r="O62" s="56"/>
      <c r="P62" s="56"/>
      <c r="Q62" s="56" t="s">
        <v>110</v>
      </c>
      <c r="S62" s="507"/>
    </row>
    <row r="63" spans="2:19" ht="124.2">
      <c r="B63" s="56" t="str">
        <f t="shared" si="0"/>
        <v>PI_0057</v>
      </c>
      <c r="C63" s="56" t="s">
        <v>1409</v>
      </c>
      <c r="D63" s="66">
        <v>45896</v>
      </c>
      <c r="E63" s="56"/>
      <c r="F63" s="665" t="s">
        <v>2391</v>
      </c>
      <c r="G63" s="344" t="s">
        <v>2412</v>
      </c>
      <c r="H63" s="56" t="s">
        <v>26</v>
      </c>
      <c r="I63" s="56">
        <v>1</v>
      </c>
      <c r="J63" s="56">
        <v>1</v>
      </c>
      <c r="K63" s="89" t="str">
        <f>IFERROR(VLOOKUP(CONCATENATE(Issues_table[[#This Row],[Priority]],Issues_table[[#This Row],[Severity]]),'Issue data'!$A$2:$B$10,2,FALSE),"")</f>
        <v>High</v>
      </c>
      <c r="L63" s="355" t="s">
        <v>2392</v>
      </c>
      <c r="M63" s="56" t="s">
        <v>2342</v>
      </c>
      <c r="N63" s="56"/>
      <c r="O63" s="56"/>
      <c r="P63" s="56"/>
      <c r="Q63" s="56" t="s">
        <v>207</v>
      </c>
      <c r="S63" s="507"/>
    </row>
    <row r="64" spans="2:19" ht="69" hidden="1">
      <c r="B64" s="56" t="str">
        <f t="shared" si="0"/>
        <v>PI_0058</v>
      </c>
      <c r="C64" s="56" t="s">
        <v>1412</v>
      </c>
      <c r="D64" s="66">
        <v>45896</v>
      </c>
      <c r="E64" s="56"/>
      <c r="F64" s="381" t="s">
        <v>1413</v>
      </c>
      <c r="G64" s="344"/>
      <c r="H64" s="56" t="s">
        <v>26</v>
      </c>
      <c r="I64" s="56">
        <v>0</v>
      </c>
      <c r="J64" s="56">
        <v>0</v>
      </c>
      <c r="K64" s="89" t="str">
        <f>IFERROR(VLOOKUP(CONCATENATE(Issues_table[[#This Row],[Priority]],Issues_table[[#This Row],[Severity]]),'Issue data'!$A$2:$B$10,2,FALSE),"")</f>
        <v/>
      </c>
      <c r="L64" s="354" t="s">
        <v>1414</v>
      </c>
      <c r="M64" s="56" t="s">
        <v>2326</v>
      </c>
      <c r="N64" s="664" t="s">
        <v>2411</v>
      </c>
      <c r="O64" s="56"/>
      <c r="P64" s="56"/>
      <c r="Q64" s="56" t="s">
        <v>110</v>
      </c>
      <c r="S64" s="507" t="s">
        <v>360</v>
      </c>
    </row>
    <row r="65" spans="2:19" ht="138">
      <c r="B65" s="56" t="str">
        <f t="shared" si="0"/>
        <v>PI_0059</v>
      </c>
      <c r="C65" s="56" t="s">
        <v>1415</v>
      </c>
      <c r="D65" s="66">
        <v>45896</v>
      </c>
      <c r="E65" s="56"/>
      <c r="F65" s="381" t="s">
        <v>2393</v>
      </c>
      <c r="G65" s="344"/>
      <c r="H65" s="56" t="s">
        <v>26</v>
      </c>
      <c r="I65" s="56">
        <v>3</v>
      </c>
      <c r="J65" s="56">
        <v>3</v>
      </c>
      <c r="K65" s="89" t="str">
        <f>IFERROR(VLOOKUP(CONCATENATE(Issues_table[[#This Row],[Priority]],Issues_table[[#This Row],[Severity]]),'Issue data'!$A$2:$B$10,2,FALSE),"")</f>
        <v>Low</v>
      </c>
      <c r="L65" s="356" t="s">
        <v>1417</v>
      </c>
      <c r="M65" s="56" t="s">
        <v>41</v>
      </c>
      <c r="N65" s="56"/>
      <c r="O65" s="56"/>
      <c r="P65" s="56"/>
      <c r="Q65" s="56" t="s">
        <v>114</v>
      </c>
      <c r="S65" s="507"/>
    </row>
    <row r="66" spans="2:19" ht="234.6" hidden="1">
      <c r="B66" s="56" t="str">
        <f t="shared" si="0"/>
        <v>PI_0060</v>
      </c>
      <c r="C66" s="56" t="s">
        <v>1418</v>
      </c>
      <c r="D66" s="66">
        <v>45896</v>
      </c>
      <c r="E66" s="56"/>
      <c r="F66" s="381" t="s">
        <v>1419</v>
      </c>
      <c r="G66" s="344"/>
      <c r="H66" s="56" t="s">
        <v>34</v>
      </c>
      <c r="I66" s="56"/>
      <c r="J66" s="56"/>
      <c r="K66" s="89" t="str">
        <f>IFERROR(VLOOKUP(CONCATENATE(Issues_table[[#This Row],[Priority]],Issues_table[[#This Row],[Severity]]),'Issue data'!$A$2:$B$10,2,FALSE),"")</f>
        <v/>
      </c>
      <c r="L66" s="357" t="s">
        <v>1420</v>
      </c>
      <c r="M66" s="56" t="s">
        <v>61</v>
      </c>
      <c r="N66" s="664" t="s">
        <v>2411</v>
      </c>
      <c r="O66" s="56"/>
      <c r="P66" s="56"/>
      <c r="Q66" s="56" t="s">
        <v>110</v>
      </c>
      <c r="S66" s="507" t="s">
        <v>360</v>
      </c>
    </row>
    <row r="67" spans="2:19" ht="220.8">
      <c r="B67" s="56" t="str">
        <f t="shared" si="0"/>
        <v>PI_0061</v>
      </c>
      <c r="C67" s="56" t="s">
        <v>1421</v>
      </c>
      <c r="D67" s="66">
        <v>45896</v>
      </c>
      <c r="E67" s="56"/>
      <c r="F67" s="381" t="s">
        <v>2394</v>
      </c>
      <c r="G67" s="344"/>
      <c r="H67" s="56" t="s">
        <v>26</v>
      </c>
      <c r="I67" s="56">
        <v>2</v>
      </c>
      <c r="J67" s="56">
        <v>2</v>
      </c>
      <c r="K67" s="89" t="str">
        <f>IFERROR(VLOOKUP(CONCATENATE(Issues_table[[#This Row],[Priority]],Issues_table[[#This Row],[Severity]]),'Issue data'!$A$2:$B$10,2,FALSE),"")</f>
        <v>Medium</v>
      </c>
      <c r="L67" s="357" t="s">
        <v>1423</v>
      </c>
      <c r="M67" s="56"/>
      <c r="N67" s="56"/>
      <c r="O67" s="56"/>
      <c r="P67" s="56"/>
      <c r="Q67" s="56" t="s">
        <v>207</v>
      </c>
      <c r="S67" s="507"/>
    </row>
    <row r="68" spans="2:19" ht="41.4" hidden="1">
      <c r="B68" s="56" t="str">
        <f t="shared" si="0"/>
        <v>PI_0062</v>
      </c>
      <c r="C68" s="56" t="s">
        <v>1424</v>
      </c>
      <c r="D68" s="66">
        <v>45896</v>
      </c>
      <c r="E68" s="56"/>
      <c r="F68" s="381" t="s">
        <v>1425</v>
      </c>
      <c r="G68" s="344"/>
      <c r="H68" s="56" t="s">
        <v>43</v>
      </c>
      <c r="I68" s="56"/>
      <c r="J68" s="56"/>
      <c r="K68" s="89" t="str">
        <f>IFERROR(VLOOKUP(CONCATENATE(Issues_table[[#This Row],[Priority]],Issues_table[[#This Row],[Severity]]),'Issue data'!$A$2:$B$10,2,FALSE),"")</f>
        <v/>
      </c>
      <c r="L68" s="357" t="s">
        <v>1426</v>
      </c>
      <c r="M68" s="56"/>
      <c r="N68" s="56"/>
      <c r="O68" s="56"/>
      <c r="P68" s="56"/>
      <c r="Q68" s="56" t="s">
        <v>110</v>
      </c>
      <c r="S68" s="507"/>
    </row>
    <row r="69" spans="2:19" ht="82.8" hidden="1">
      <c r="B69" s="56" t="str">
        <f t="shared" si="0"/>
        <v>PI_0063</v>
      </c>
      <c r="C69" s="56" t="s">
        <v>1427</v>
      </c>
      <c r="D69" s="66">
        <v>45896</v>
      </c>
      <c r="E69" s="56"/>
      <c r="F69" s="381" t="s">
        <v>1428</v>
      </c>
      <c r="G69" s="344"/>
      <c r="H69" s="56" t="s">
        <v>43</v>
      </c>
      <c r="I69" s="56"/>
      <c r="J69" s="56"/>
      <c r="K69" s="89" t="str">
        <f>IFERROR(VLOOKUP(CONCATENATE(Issues_table[[#This Row],[Priority]],Issues_table[[#This Row],[Severity]]),'Issue data'!$A$2:$B$10,2,FALSE),"")</f>
        <v/>
      </c>
      <c r="L69" s="358" t="s">
        <v>1429</v>
      </c>
      <c r="M69" s="56"/>
      <c r="N69" s="56"/>
      <c r="O69" s="56"/>
      <c r="P69" s="56"/>
      <c r="Q69" s="56" t="s">
        <v>110</v>
      </c>
      <c r="S69" s="507"/>
    </row>
    <row r="70" spans="2:19" ht="259.05" customHeight="1">
      <c r="B70" s="56" t="str">
        <f t="shared" si="0"/>
        <v>PI_0064</v>
      </c>
      <c r="C70" s="56" t="s">
        <v>1430</v>
      </c>
      <c r="D70" s="66">
        <v>45896</v>
      </c>
      <c r="E70" s="56"/>
      <c r="F70" s="354" t="s">
        <v>2395</v>
      </c>
      <c r="G70" s="344" t="s">
        <v>2406</v>
      </c>
      <c r="H70" s="56" t="s">
        <v>26</v>
      </c>
      <c r="I70" s="56">
        <v>3</v>
      </c>
      <c r="J70" s="56">
        <v>3</v>
      </c>
      <c r="K70" s="89" t="str">
        <f>IFERROR(VLOOKUP(CONCATENATE(Issues_table[[#This Row],[Priority]],Issues_table[[#This Row],[Severity]]),'Issue data'!$A$2:$B$10,2,FALSE),"")</f>
        <v>Low</v>
      </c>
      <c r="L70" s="355" t="s">
        <v>1432</v>
      </c>
      <c r="M70" s="56" t="s">
        <v>161</v>
      </c>
      <c r="N70" s="56"/>
      <c r="O70" s="56"/>
      <c r="P70" s="56"/>
      <c r="Q70" s="56" t="s">
        <v>114</v>
      </c>
      <c r="S70" s="507"/>
    </row>
    <row r="71" spans="2:19" ht="126" customHeight="1">
      <c r="B71" s="56" t="str">
        <f t="shared" si="0"/>
        <v>PI_0065</v>
      </c>
      <c r="C71" s="56" t="s">
        <v>1433</v>
      </c>
      <c r="D71" s="66">
        <v>45896</v>
      </c>
      <c r="E71" s="56"/>
      <c r="F71" s="381" t="s">
        <v>2396</v>
      </c>
      <c r="G71" s="344"/>
      <c r="H71" s="56" t="s">
        <v>34</v>
      </c>
      <c r="I71" s="56">
        <v>2</v>
      </c>
      <c r="J71" s="56">
        <v>2</v>
      </c>
      <c r="K71" s="89" t="str">
        <f>IFERROR(VLOOKUP(CONCATENATE(Issues_table[[#This Row],[Priority]],Issues_table[[#This Row],[Severity]]),'Issue data'!$A$2:$B$10,2,FALSE),"")</f>
        <v>Medium</v>
      </c>
      <c r="L71" s="354" t="s">
        <v>1435</v>
      </c>
      <c r="M71" s="56" t="s">
        <v>61</v>
      </c>
      <c r="N71" s="56"/>
      <c r="O71" s="56"/>
      <c r="P71" s="56"/>
      <c r="Q71" s="56" t="s">
        <v>114</v>
      </c>
      <c r="S71" s="507"/>
    </row>
    <row r="72" spans="2:19" ht="110.4" hidden="1">
      <c r="B72" s="56" t="str">
        <f t="shared" si="0"/>
        <v>PI_0066</v>
      </c>
      <c r="C72" s="56" t="s">
        <v>1436</v>
      </c>
      <c r="D72" s="66">
        <v>45896</v>
      </c>
      <c r="E72" s="56"/>
      <c r="F72" s="660" t="s">
        <v>1437</v>
      </c>
      <c r="G72" s="344"/>
      <c r="H72" s="56" t="s">
        <v>26</v>
      </c>
      <c r="I72" s="56"/>
      <c r="J72" s="56"/>
      <c r="K72" s="89" t="str">
        <f>IFERROR(VLOOKUP(CONCATENATE(Issues_table[[#This Row],[Priority]],Issues_table[[#This Row],[Severity]]),'Issue data'!$A$2:$B$10,2,FALSE),"")</f>
        <v/>
      </c>
      <c r="L72" s="359" t="s">
        <v>1438</v>
      </c>
      <c r="M72" s="56" t="s">
        <v>41</v>
      </c>
      <c r="N72" s="56"/>
      <c r="O72" s="56"/>
      <c r="P72" s="56"/>
      <c r="Q72" s="56" t="s">
        <v>110</v>
      </c>
      <c r="S72" s="507"/>
    </row>
    <row r="73" spans="2:19" ht="138">
      <c r="B73" s="56" t="str">
        <f t="shared" ref="B73:B89" si="1">IF(F73&lt;&gt;"","PI_" &amp; TEXT(ROW(F73)-6,"0000"),"")</f>
        <v>PI_0067</v>
      </c>
      <c r="C73" s="56" t="s">
        <v>1439</v>
      </c>
      <c r="D73" s="66">
        <v>45896</v>
      </c>
      <c r="E73" s="56"/>
      <c r="F73" s="381" t="s">
        <v>2397</v>
      </c>
      <c r="G73" s="344"/>
      <c r="H73" s="56" t="s">
        <v>26</v>
      </c>
      <c r="I73" s="56">
        <v>2</v>
      </c>
      <c r="J73" s="56">
        <v>2</v>
      </c>
      <c r="K73" s="89" t="str">
        <f>IFERROR(VLOOKUP(CONCATENATE(Issues_table[[#This Row],[Priority]],Issues_table[[#This Row],[Severity]]),'Issue data'!$A$2:$B$10,2,FALSE),"")</f>
        <v>Medium</v>
      </c>
      <c r="L73" s="360" t="s">
        <v>1440</v>
      </c>
      <c r="M73" s="56" t="s">
        <v>2343</v>
      </c>
      <c r="N73" s="56"/>
      <c r="O73" s="56"/>
      <c r="P73" s="56"/>
      <c r="Q73" s="56" t="s">
        <v>207</v>
      </c>
      <c r="S73" s="507"/>
    </row>
    <row r="74" spans="2:19" ht="179.4">
      <c r="B74" s="56" t="str">
        <f t="shared" si="1"/>
        <v>PI_0068</v>
      </c>
      <c r="C74" s="56" t="s">
        <v>1441</v>
      </c>
      <c r="D74" s="66">
        <v>45896</v>
      </c>
      <c r="E74" s="56"/>
      <c r="F74" s="381" t="s">
        <v>2398</v>
      </c>
      <c r="G74" s="344"/>
      <c r="H74" s="56" t="s">
        <v>34</v>
      </c>
      <c r="I74" s="56">
        <v>1</v>
      </c>
      <c r="J74" s="56">
        <v>1</v>
      </c>
      <c r="K74" s="89" t="str">
        <f>IFERROR(VLOOKUP(CONCATENATE(Issues_table[[#This Row],[Priority]],Issues_table[[#This Row],[Severity]]),'Issue data'!$A$2:$B$10,2,FALSE),"")</f>
        <v>High</v>
      </c>
      <c r="L74" s="354" t="s">
        <v>1443</v>
      </c>
      <c r="M74" s="56" t="s">
        <v>158</v>
      </c>
      <c r="N74" s="56"/>
      <c r="O74" s="56"/>
      <c r="P74" s="56"/>
      <c r="Q74" s="56" t="s">
        <v>114</v>
      </c>
      <c r="S74" s="507"/>
    </row>
    <row r="75" spans="2:19" ht="82.8">
      <c r="B75" s="56" t="str">
        <f t="shared" si="1"/>
        <v>PI_0069</v>
      </c>
      <c r="C75" s="56" t="s">
        <v>1444</v>
      </c>
      <c r="D75" s="66">
        <v>45896</v>
      </c>
      <c r="E75" s="56"/>
      <c r="F75" s="381" t="s">
        <v>2399</v>
      </c>
      <c r="G75" s="344"/>
      <c r="H75" s="56" t="s">
        <v>34</v>
      </c>
      <c r="I75" s="56">
        <v>1</v>
      </c>
      <c r="J75" s="56">
        <v>1</v>
      </c>
      <c r="K75" s="89" t="str">
        <f>IFERROR(VLOOKUP(CONCATENATE(Issues_table[[#This Row],[Priority]],Issues_table[[#This Row],[Severity]]),'Issue data'!$A$2:$B$10,2,FALSE),"")</f>
        <v>High</v>
      </c>
      <c r="L75" s="354" t="s">
        <v>2409</v>
      </c>
      <c r="M75" s="56" t="s">
        <v>2344</v>
      </c>
      <c r="N75" s="56"/>
      <c r="O75" s="56"/>
      <c r="P75" s="56"/>
      <c r="Q75" s="56" t="s">
        <v>114</v>
      </c>
      <c r="S75" s="507"/>
    </row>
    <row r="76" spans="2:19" ht="82.8">
      <c r="B76" s="56" t="str">
        <f t="shared" si="1"/>
        <v>PI_0070</v>
      </c>
      <c r="C76" s="56" t="s">
        <v>1447</v>
      </c>
      <c r="D76" s="66">
        <v>45896</v>
      </c>
      <c r="E76" s="56"/>
      <c r="F76" s="381" t="s">
        <v>1448</v>
      </c>
      <c r="G76" s="344"/>
      <c r="H76" s="56" t="s">
        <v>26</v>
      </c>
      <c r="I76" s="56">
        <v>1</v>
      </c>
      <c r="J76" s="56">
        <v>1</v>
      </c>
      <c r="K76" s="89" t="str">
        <f>IFERROR(VLOOKUP(CONCATENATE(Issues_table[[#This Row],[Priority]],Issues_table[[#This Row],[Severity]]),'Issue data'!$A$2:$B$10,2,FALSE),"")</f>
        <v>High</v>
      </c>
      <c r="L76" s="354" t="s">
        <v>1449</v>
      </c>
      <c r="M76" s="56" t="s">
        <v>2344</v>
      </c>
      <c r="N76" s="56"/>
      <c r="O76" s="56"/>
      <c r="P76" s="56"/>
      <c r="Q76" s="56" t="s">
        <v>114</v>
      </c>
      <c r="S76" s="507"/>
    </row>
    <row r="77" spans="2:19" ht="179.4">
      <c r="B77" s="56" t="str">
        <f t="shared" si="1"/>
        <v>PI_0071</v>
      </c>
      <c r="C77" s="56" t="s">
        <v>1450</v>
      </c>
      <c r="D77" s="66">
        <v>45896</v>
      </c>
      <c r="E77" s="56"/>
      <c r="F77" s="381" t="s">
        <v>2407</v>
      </c>
      <c r="G77" s="344" t="s">
        <v>2386</v>
      </c>
      <c r="H77" s="56" t="s">
        <v>26</v>
      </c>
      <c r="I77" s="56">
        <v>1</v>
      </c>
      <c r="J77" s="56">
        <v>2</v>
      </c>
      <c r="K77" s="89" t="str">
        <f>IFERROR(VLOOKUP(CONCATENATE(Issues_table[[#This Row],[Priority]],Issues_table[[#This Row],[Severity]]),'Issue data'!$A$2:$B$10,2,FALSE),"")</f>
        <v>High</v>
      </c>
      <c r="L77" s="357" t="s">
        <v>2387</v>
      </c>
      <c r="M77" s="56" t="s">
        <v>2325</v>
      </c>
      <c r="N77" s="56"/>
      <c r="O77" s="56"/>
      <c r="P77" s="56"/>
      <c r="Q77" s="56" t="s">
        <v>114</v>
      </c>
      <c r="S77" s="507"/>
    </row>
    <row r="78" spans="2:19" ht="55.2">
      <c r="B78" s="56" t="str">
        <f t="shared" si="1"/>
        <v>PI_0072</v>
      </c>
      <c r="C78" s="56" t="s">
        <v>1453</v>
      </c>
      <c r="D78" s="66">
        <v>45896</v>
      </c>
      <c r="E78" s="56"/>
      <c r="F78" s="381" t="s">
        <v>1454</v>
      </c>
      <c r="G78" s="344"/>
      <c r="H78" s="56" t="s">
        <v>26</v>
      </c>
      <c r="I78" s="56">
        <v>1</v>
      </c>
      <c r="J78" s="56">
        <v>1</v>
      </c>
      <c r="K78" s="89" t="str">
        <f>IFERROR(VLOOKUP(CONCATENATE(Issues_table[[#This Row],[Priority]],Issues_table[[#This Row],[Severity]]),'Issue data'!$A$2:$B$10,2,FALSE),"")</f>
        <v>High</v>
      </c>
      <c r="L78" s="357" t="s">
        <v>1455</v>
      </c>
      <c r="M78" s="56" t="s">
        <v>61</v>
      </c>
      <c r="N78" s="56"/>
      <c r="O78" s="56"/>
      <c r="P78" s="56"/>
      <c r="Q78" s="56" t="s">
        <v>114</v>
      </c>
      <c r="S78" s="507"/>
    </row>
    <row r="79" spans="2:19" ht="96.6" hidden="1">
      <c r="B79" s="56" t="str">
        <f t="shared" si="1"/>
        <v>PI_0073</v>
      </c>
      <c r="C79" s="56" t="s">
        <v>1456</v>
      </c>
      <c r="D79" s="66">
        <v>45896</v>
      </c>
      <c r="E79" s="56"/>
      <c r="F79" s="381" t="s">
        <v>1457</v>
      </c>
      <c r="G79" s="344"/>
      <c r="H79" s="56" t="s">
        <v>34</v>
      </c>
      <c r="I79" s="56"/>
      <c r="J79" s="56"/>
      <c r="K79" s="89" t="str">
        <f>IFERROR(VLOOKUP(CONCATENATE(Issues_table[[#This Row],[Priority]],Issues_table[[#This Row],[Severity]]),'Issue data'!$A$2:$B$10,2,FALSE),"")</f>
        <v/>
      </c>
      <c r="L79" s="357" t="s">
        <v>1458</v>
      </c>
      <c r="M79" s="56" t="s">
        <v>41</v>
      </c>
      <c r="N79" s="56"/>
      <c r="O79" s="56"/>
      <c r="P79" s="56"/>
      <c r="Q79" s="56" t="s">
        <v>110</v>
      </c>
      <c r="S79" s="507"/>
    </row>
    <row r="80" spans="2:19" ht="69">
      <c r="B80" s="56" t="str">
        <f t="shared" si="1"/>
        <v>PI_0074</v>
      </c>
      <c r="C80" s="56" t="s">
        <v>1459</v>
      </c>
      <c r="D80" s="66">
        <v>45896</v>
      </c>
      <c r="E80" s="56"/>
      <c r="F80" s="381" t="s">
        <v>2400</v>
      </c>
      <c r="G80" s="344"/>
      <c r="H80" s="56" t="s">
        <v>26</v>
      </c>
      <c r="I80" s="56">
        <v>2</v>
      </c>
      <c r="J80" s="56">
        <v>2</v>
      </c>
      <c r="K80" s="89" t="str">
        <f>IFERROR(VLOOKUP(CONCATENATE(Issues_table[[#This Row],[Priority]],Issues_table[[#This Row],[Severity]]),'Issue data'!$A$2:$B$10,2,FALSE),"")</f>
        <v>Medium</v>
      </c>
      <c r="L80" s="354" t="s">
        <v>1461</v>
      </c>
      <c r="M80" s="56" t="s">
        <v>2345</v>
      </c>
      <c r="N80" s="56"/>
      <c r="O80" s="56"/>
      <c r="P80" s="56"/>
      <c r="Q80" s="56" t="s">
        <v>114</v>
      </c>
      <c r="S80" s="507"/>
    </row>
    <row r="81" spans="2:19" ht="55.2" hidden="1">
      <c r="B81" s="56" t="str">
        <f t="shared" si="1"/>
        <v>PI_0075</v>
      </c>
      <c r="C81" s="56" t="s">
        <v>1462</v>
      </c>
      <c r="D81" s="66">
        <v>45896</v>
      </c>
      <c r="E81" s="56"/>
      <c r="F81" s="381" t="s">
        <v>1463</v>
      </c>
      <c r="G81" s="344"/>
      <c r="H81" s="56" t="s">
        <v>34</v>
      </c>
      <c r="I81" s="56"/>
      <c r="J81" s="56"/>
      <c r="K81" s="89" t="str">
        <f>IFERROR(VLOOKUP(CONCATENATE(Issues_table[[#This Row],[Priority]],Issues_table[[#This Row],[Severity]]),'Issue data'!$A$2:$B$10,2,FALSE),"")</f>
        <v/>
      </c>
      <c r="L81" s="354" t="s">
        <v>1464</v>
      </c>
      <c r="M81" s="56" t="s">
        <v>2326</v>
      </c>
      <c r="N81" s="56"/>
      <c r="O81" s="56"/>
      <c r="P81" s="56"/>
      <c r="Q81" s="56" t="s">
        <v>110</v>
      </c>
      <c r="S81" s="507"/>
    </row>
    <row r="82" spans="2:19" ht="96.6">
      <c r="B82" s="56" t="str">
        <f t="shared" si="1"/>
        <v>PI_0076</v>
      </c>
      <c r="C82" s="56" t="s">
        <v>1465</v>
      </c>
      <c r="D82" s="66">
        <v>45896</v>
      </c>
      <c r="E82" s="56"/>
      <c r="F82" s="381" t="s">
        <v>1466</v>
      </c>
      <c r="G82" s="344"/>
      <c r="H82" s="56" t="s">
        <v>34</v>
      </c>
      <c r="I82" s="56">
        <v>2</v>
      </c>
      <c r="J82" s="56">
        <v>2</v>
      </c>
      <c r="K82" s="89" t="str">
        <f>IFERROR(VLOOKUP(CONCATENATE(Issues_table[[#This Row],[Priority]],Issues_table[[#This Row],[Severity]]),'Issue data'!$A$2:$B$10,2,FALSE),"")</f>
        <v>Medium</v>
      </c>
      <c r="L82" s="357" t="s">
        <v>1467</v>
      </c>
      <c r="M82" s="56" t="s">
        <v>2343</v>
      </c>
      <c r="N82" s="56"/>
      <c r="O82" s="56"/>
      <c r="P82" s="56"/>
      <c r="Q82" s="56" t="s">
        <v>114</v>
      </c>
      <c r="S82" s="507"/>
    </row>
    <row r="83" spans="2:19" ht="55.2">
      <c r="B83" s="56" t="str">
        <f t="shared" si="1"/>
        <v>PI_0077</v>
      </c>
      <c r="C83" s="56" t="s">
        <v>1468</v>
      </c>
      <c r="D83" s="66">
        <v>45896</v>
      </c>
      <c r="E83" s="56"/>
      <c r="F83" s="381" t="s">
        <v>2401</v>
      </c>
      <c r="G83" s="344"/>
      <c r="H83" s="56" t="s">
        <v>34</v>
      </c>
      <c r="I83" s="56">
        <v>1</v>
      </c>
      <c r="J83" s="56">
        <v>2</v>
      </c>
      <c r="K83" s="89" t="str">
        <f>IFERROR(VLOOKUP(CONCATENATE(Issues_table[[#This Row],[Priority]],Issues_table[[#This Row],[Severity]]),'Issue data'!$A$2:$B$10,2,FALSE),"")</f>
        <v>High</v>
      </c>
      <c r="L83" s="354" t="s">
        <v>1470</v>
      </c>
      <c r="M83" s="56" t="s">
        <v>161</v>
      </c>
      <c r="N83" s="56"/>
      <c r="O83" s="56"/>
      <c r="P83" s="56"/>
      <c r="Q83" s="56" t="s">
        <v>114</v>
      </c>
      <c r="S83" s="507"/>
    </row>
    <row r="84" spans="2:19" ht="41.4" hidden="1">
      <c r="B84" s="56" t="str">
        <f t="shared" si="1"/>
        <v>PI_0078</v>
      </c>
      <c r="C84" s="56" t="s">
        <v>1471</v>
      </c>
      <c r="D84" s="66">
        <v>45896</v>
      </c>
      <c r="E84" s="56"/>
      <c r="F84" s="381" t="s">
        <v>1472</v>
      </c>
      <c r="G84" s="344"/>
      <c r="H84" s="56" t="s">
        <v>34</v>
      </c>
      <c r="I84" s="56"/>
      <c r="J84" s="56"/>
      <c r="K84" s="89" t="str">
        <f>IFERROR(VLOOKUP(CONCATENATE(Issues_table[[#This Row],[Priority]],Issues_table[[#This Row],[Severity]]),'Issue data'!$A$2:$B$10,2,FALSE),"")</f>
        <v/>
      </c>
      <c r="L84" s="354" t="s">
        <v>1473</v>
      </c>
      <c r="M84" s="56" t="s">
        <v>161</v>
      </c>
      <c r="N84" s="56"/>
      <c r="O84" s="56"/>
      <c r="P84" s="56"/>
      <c r="Q84" s="56" t="s">
        <v>110</v>
      </c>
      <c r="S84" s="507"/>
    </row>
    <row r="85" spans="2:19" ht="27.6" hidden="1">
      <c r="B85" s="56" t="str">
        <f t="shared" si="1"/>
        <v>PI_0079</v>
      </c>
      <c r="C85" s="56" t="s">
        <v>1474</v>
      </c>
      <c r="D85" s="66">
        <v>45896</v>
      </c>
      <c r="E85" s="56"/>
      <c r="F85" s="381" t="s">
        <v>1475</v>
      </c>
      <c r="G85" s="344"/>
      <c r="H85" s="56" t="s">
        <v>34</v>
      </c>
      <c r="I85" s="56"/>
      <c r="J85" s="56"/>
      <c r="K85" s="89" t="str">
        <f>IFERROR(VLOOKUP(CONCATENATE(Issues_table[[#This Row],[Priority]],Issues_table[[#This Row],[Severity]]),'Issue data'!$A$2:$B$10,2,FALSE),"")</f>
        <v/>
      </c>
      <c r="L85" s="354" t="s">
        <v>1476</v>
      </c>
      <c r="M85" s="56" t="s">
        <v>161</v>
      </c>
      <c r="N85" s="56"/>
      <c r="O85" s="56"/>
      <c r="P85" s="56"/>
      <c r="Q85" s="56" t="s">
        <v>110</v>
      </c>
      <c r="S85" s="507"/>
    </row>
    <row r="86" spans="2:19" ht="55.2">
      <c r="B86" s="56" t="str">
        <f t="shared" si="1"/>
        <v>PI_0080</v>
      </c>
      <c r="C86" s="56" t="s">
        <v>1477</v>
      </c>
      <c r="D86" s="66">
        <v>45896</v>
      </c>
      <c r="E86" s="56"/>
      <c r="F86" s="381" t="s">
        <v>2402</v>
      </c>
      <c r="G86" s="344"/>
      <c r="H86" s="56" t="s">
        <v>26</v>
      </c>
      <c r="I86" s="56">
        <v>2</v>
      </c>
      <c r="J86" s="56">
        <v>2</v>
      </c>
      <c r="K86" s="89" t="str">
        <f>IFERROR(VLOOKUP(CONCATENATE(Issues_table[[#This Row],[Priority]],Issues_table[[#This Row],[Severity]]),'Issue data'!$A$2:$B$10,2,FALSE),"")</f>
        <v>Medium</v>
      </c>
      <c r="L86" s="354" t="s">
        <v>1479</v>
      </c>
      <c r="M86" s="56" t="s">
        <v>161</v>
      </c>
      <c r="N86" s="56"/>
      <c r="O86" s="56"/>
      <c r="P86" s="56"/>
      <c r="Q86" s="56" t="s">
        <v>114</v>
      </c>
      <c r="S86" s="507"/>
    </row>
    <row r="87" spans="2:19" ht="41.4">
      <c r="B87" s="56" t="str">
        <f t="shared" si="1"/>
        <v>PI_0081</v>
      </c>
      <c r="C87" s="56" t="s">
        <v>1480</v>
      </c>
      <c r="D87" s="66">
        <v>45896</v>
      </c>
      <c r="E87" s="56"/>
      <c r="F87" s="663" t="s">
        <v>2403</v>
      </c>
      <c r="G87" s="344"/>
      <c r="H87" s="56" t="s">
        <v>26</v>
      </c>
      <c r="I87" s="56">
        <v>2</v>
      </c>
      <c r="J87" s="56">
        <v>2</v>
      </c>
      <c r="K87" s="89" t="str">
        <f>IFERROR(VLOOKUP(CONCATENATE(Issues_table[[#This Row],[Priority]],Issues_table[[#This Row],[Severity]]),'Issue data'!$A$2:$B$10,2,FALSE),"")</f>
        <v>Medium</v>
      </c>
      <c r="L87" s="354" t="s">
        <v>1482</v>
      </c>
      <c r="M87" s="56" t="s">
        <v>161</v>
      </c>
      <c r="N87" s="56"/>
      <c r="O87" s="56"/>
      <c r="P87" s="56"/>
      <c r="Q87" s="56" t="s">
        <v>114</v>
      </c>
      <c r="S87" s="507"/>
    </row>
    <row r="88" spans="2:19" ht="27.6">
      <c r="B88" s="56" t="str">
        <f t="shared" si="1"/>
        <v>PI_0082</v>
      </c>
      <c r="C88" s="56" t="s">
        <v>1483</v>
      </c>
      <c r="D88" s="66">
        <v>45896</v>
      </c>
      <c r="E88" s="56"/>
      <c r="F88" s="381" t="s">
        <v>1484</v>
      </c>
      <c r="G88" s="344"/>
      <c r="H88" s="56" t="s">
        <v>34</v>
      </c>
      <c r="I88" s="56">
        <v>2</v>
      </c>
      <c r="J88" s="56">
        <v>2</v>
      </c>
      <c r="K88" s="89" t="str">
        <f>IFERROR(VLOOKUP(CONCATENATE(Issues_table[[#This Row],[Priority]],Issues_table[[#This Row],[Severity]]),'Issue data'!$A$2:$B$10,2,FALSE),"")</f>
        <v>Medium</v>
      </c>
      <c r="L88" s="56" t="s">
        <v>2346</v>
      </c>
      <c r="M88" s="56" t="s">
        <v>161</v>
      </c>
      <c r="N88" s="56"/>
      <c r="O88" s="56"/>
      <c r="P88" s="56"/>
      <c r="Q88" s="56" t="s">
        <v>114</v>
      </c>
      <c r="S88" s="507"/>
    </row>
    <row r="89" spans="2:19" ht="14.25" customHeight="1">
      <c r="B89" s="56" t="str">
        <f t="shared" si="1"/>
        <v/>
      </c>
      <c r="C89" s="56"/>
      <c r="D89" s="66"/>
      <c r="E89" s="56"/>
      <c r="F89" s="381"/>
      <c r="G89" s="344"/>
      <c r="H89" s="56"/>
      <c r="I89" s="56"/>
      <c r="J89" s="56"/>
      <c r="K89" s="89" t="str">
        <f>IFERROR(VLOOKUP(CONCATENATE(Issues_table[[#This Row],[Priority]],Issues_table[[#This Row],[Severity]]),'Issue data'!$A$2:$B$10,2,FALSE),"")</f>
        <v/>
      </c>
      <c r="L89" s="56"/>
      <c r="M89" s="56"/>
      <c r="N89" s="56"/>
      <c r="O89" s="56"/>
      <c r="P89" s="56"/>
      <c r="Q89" s="56"/>
      <c r="R89" s="507"/>
      <c r="S89" s="56"/>
    </row>
    <row r="90" spans="2:19" ht="14.25" customHeight="1">
      <c r="B90" s="56" t="str">
        <f t="shared" ref="B90:B100" si="2">IF(F90&lt;&gt;"","PI_" &amp; TEXT(ROW(F90)-6,"0000"),"")</f>
        <v/>
      </c>
      <c r="C90" s="56"/>
      <c r="D90" s="66"/>
      <c r="E90" s="56"/>
      <c r="F90" s="381"/>
      <c r="G90" s="344"/>
      <c r="H90" s="56"/>
      <c r="I90" s="56"/>
      <c r="J90" s="56"/>
      <c r="K90" s="89" t="str">
        <f>IFERROR(VLOOKUP(CONCATENATE(Issues_table[[#This Row],[Priority]],Issues_table[[#This Row],[Severity]]),'Issue data'!$A$2:$B$10,2,FALSE),"")</f>
        <v/>
      </c>
      <c r="L90" s="56"/>
      <c r="M90" s="56"/>
      <c r="N90" s="56"/>
      <c r="O90" s="56"/>
      <c r="P90" s="56"/>
      <c r="Q90" s="56"/>
      <c r="S90" s="56"/>
    </row>
    <row r="91" spans="2:19" ht="14.25" customHeight="1">
      <c r="B91" s="56" t="str">
        <f t="shared" si="2"/>
        <v/>
      </c>
      <c r="C91" s="56"/>
      <c r="D91" s="66"/>
      <c r="E91" s="56"/>
      <c r="F91" s="381"/>
      <c r="G91" s="344"/>
      <c r="H91" s="56"/>
      <c r="I91" s="56"/>
      <c r="J91" s="56"/>
      <c r="K91" s="89" t="str">
        <f>IFERROR(VLOOKUP(CONCATENATE(Issues_table[[#This Row],[Priority]],Issues_table[[#This Row],[Severity]]),'Issue data'!$A$2:$B$10,2,FALSE),"")</f>
        <v/>
      </c>
      <c r="L91" s="56"/>
      <c r="M91" s="56"/>
      <c r="N91" s="56"/>
      <c r="O91" s="56"/>
      <c r="P91" s="56"/>
      <c r="Q91" s="56"/>
      <c r="S91" s="56"/>
    </row>
    <row r="92" spans="2:19" ht="14.25" customHeight="1">
      <c r="B92" s="56" t="str">
        <f t="shared" si="2"/>
        <v/>
      </c>
      <c r="C92" s="56"/>
      <c r="D92" s="66"/>
      <c r="E92" s="56"/>
      <c r="F92" s="381"/>
      <c r="G92" s="344"/>
      <c r="H92" s="56"/>
      <c r="I92" s="56"/>
      <c r="J92" s="56"/>
      <c r="K92" s="89" t="str">
        <f>IFERROR(VLOOKUP(CONCATENATE(Issues_table[[#This Row],[Priority]],Issues_table[[#This Row],[Severity]]),'Issue data'!$A$2:$B$10,2,FALSE),"")</f>
        <v/>
      </c>
      <c r="L92" s="56"/>
      <c r="M92" s="56"/>
      <c r="N92" s="56"/>
      <c r="O92" s="56"/>
      <c r="P92" s="56"/>
      <c r="Q92" s="56"/>
      <c r="S92" s="56"/>
    </row>
    <row r="93" spans="2:19" ht="14.25" customHeight="1">
      <c r="B93" s="56" t="str">
        <f t="shared" si="2"/>
        <v/>
      </c>
      <c r="C93" s="56"/>
      <c r="D93" s="66"/>
      <c r="E93" s="56"/>
      <c r="F93" s="381"/>
      <c r="G93" s="344"/>
      <c r="H93" s="56"/>
      <c r="I93" s="56"/>
      <c r="J93" s="56"/>
      <c r="K93" s="89" t="str">
        <f>IFERROR(VLOOKUP(CONCATENATE(Issues_table[[#This Row],[Priority]],Issues_table[[#This Row],[Severity]]),'Issue data'!$A$2:$B$10,2,FALSE),"")</f>
        <v/>
      </c>
      <c r="L93" s="56"/>
      <c r="M93" s="56"/>
      <c r="N93" s="56"/>
      <c r="O93" s="56"/>
      <c r="P93" s="56"/>
      <c r="Q93" s="56"/>
      <c r="S93" s="56"/>
    </row>
    <row r="94" spans="2:19" ht="14.25" customHeight="1">
      <c r="B94" s="56" t="str">
        <f t="shared" si="2"/>
        <v/>
      </c>
      <c r="C94" s="56"/>
      <c r="D94" s="66"/>
      <c r="E94" s="56"/>
      <c r="F94" s="381"/>
      <c r="G94" s="344"/>
      <c r="H94" s="56"/>
      <c r="I94" s="56"/>
      <c r="J94" s="56"/>
      <c r="K94" s="89" t="str">
        <f>IFERROR(VLOOKUP(CONCATENATE(Issues_table[[#This Row],[Priority]],Issues_table[[#This Row],[Severity]]),'Issue data'!$A$2:$B$10,2,FALSE),"")</f>
        <v/>
      </c>
      <c r="L94" s="56"/>
      <c r="M94" s="56"/>
      <c r="N94" s="56"/>
      <c r="O94" s="56"/>
      <c r="P94" s="56"/>
      <c r="Q94" s="56"/>
      <c r="S94" s="56"/>
    </row>
    <row r="95" spans="2:19" ht="14.25" customHeight="1">
      <c r="B95" s="56" t="str">
        <f t="shared" si="2"/>
        <v/>
      </c>
      <c r="C95" s="56"/>
      <c r="D95" s="66"/>
      <c r="E95" s="56"/>
      <c r="F95" s="381"/>
      <c r="G95" s="344"/>
      <c r="H95" s="56"/>
      <c r="I95" s="56"/>
      <c r="J95" s="56"/>
      <c r="K95" s="89" t="str">
        <f>IFERROR(VLOOKUP(CONCATENATE(Issues_table[[#This Row],[Priority]],Issues_table[[#This Row],[Severity]]),'Issue data'!$A$2:$B$10,2,FALSE),"")</f>
        <v/>
      </c>
      <c r="L95" s="56"/>
      <c r="M95" s="56"/>
      <c r="N95" s="56"/>
      <c r="O95" s="56"/>
      <c r="P95" s="56"/>
      <c r="Q95" s="56"/>
      <c r="S95" s="56"/>
    </row>
    <row r="96" spans="2:19" ht="14.25" customHeight="1">
      <c r="B96" s="56" t="str">
        <f t="shared" si="2"/>
        <v/>
      </c>
      <c r="C96" s="56"/>
      <c r="D96" s="66"/>
      <c r="E96" s="56"/>
      <c r="F96" s="381"/>
      <c r="G96" s="344"/>
      <c r="H96" s="56"/>
      <c r="I96" s="56"/>
      <c r="J96" s="56"/>
      <c r="K96" s="89" t="str">
        <f>IFERROR(VLOOKUP(CONCATENATE(Issues_table[[#This Row],[Priority]],Issues_table[[#This Row],[Severity]]),'Issue data'!$A$2:$B$10,2,FALSE),"")</f>
        <v/>
      </c>
      <c r="L96" s="56"/>
      <c r="M96" s="56"/>
      <c r="N96" s="56"/>
      <c r="O96" s="56"/>
      <c r="P96" s="56"/>
      <c r="Q96" s="56"/>
      <c r="S96" s="56"/>
    </row>
    <row r="97" spans="2:19" ht="14.25" customHeight="1">
      <c r="B97" s="56" t="str">
        <f t="shared" si="2"/>
        <v/>
      </c>
      <c r="C97" s="56"/>
      <c r="D97" s="66"/>
      <c r="E97" s="56"/>
      <c r="F97" s="381"/>
      <c r="G97" s="344"/>
      <c r="H97" s="56"/>
      <c r="I97" s="56"/>
      <c r="J97" s="56"/>
      <c r="K97" s="89" t="str">
        <f>IFERROR(VLOOKUP(CONCATENATE(Issues_table[[#This Row],[Priority]],Issues_table[[#This Row],[Severity]]),'Issue data'!$A$2:$B$10,2,FALSE),"")</f>
        <v/>
      </c>
      <c r="L97" s="56"/>
      <c r="M97" s="56"/>
      <c r="N97" s="56"/>
      <c r="O97" s="56"/>
      <c r="P97" s="56"/>
      <c r="Q97" s="56"/>
      <c r="S97" s="56"/>
    </row>
    <row r="98" spans="2:19" ht="14.25" customHeight="1">
      <c r="B98" s="56" t="str">
        <f t="shared" si="2"/>
        <v/>
      </c>
      <c r="C98" s="56"/>
      <c r="D98" s="66"/>
      <c r="E98" s="56"/>
      <c r="F98" s="381"/>
      <c r="G98" s="344"/>
      <c r="H98" s="56"/>
      <c r="I98" s="56"/>
      <c r="J98" s="56"/>
      <c r="K98" s="89" t="str">
        <f>IFERROR(VLOOKUP(CONCATENATE(Issues_table[[#This Row],[Priority]],Issues_table[[#This Row],[Severity]]),'Issue data'!$A$2:$B$10,2,FALSE),"")</f>
        <v/>
      </c>
      <c r="L98" s="56"/>
      <c r="M98" s="56"/>
      <c r="N98" s="56"/>
      <c r="O98" s="56"/>
      <c r="P98" s="56"/>
      <c r="Q98" s="56"/>
      <c r="S98" s="56"/>
    </row>
    <row r="99" spans="2:19" ht="14.25" customHeight="1">
      <c r="B99" s="56" t="str">
        <f t="shared" si="2"/>
        <v/>
      </c>
      <c r="C99" s="56"/>
      <c r="D99" s="66"/>
      <c r="E99" s="56"/>
      <c r="F99" s="381"/>
      <c r="G99" s="344"/>
      <c r="H99" s="56"/>
      <c r="I99" s="56"/>
      <c r="J99" s="56"/>
      <c r="K99" s="89" t="str">
        <f>IFERROR(VLOOKUP(CONCATENATE(Issues_table[[#This Row],[Priority]],Issues_table[[#This Row],[Severity]]),'Issue data'!$A$2:$B$10,2,FALSE),"")</f>
        <v/>
      </c>
      <c r="L99" s="56"/>
      <c r="M99" s="56"/>
      <c r="N99" s="56"/>
      <c r="O99" s="56"/>
      <c r="P99" s="56"/>
      <c r="Q99" s="56"/>
      <c r="S99" s="56"/>
    </row>
    <row r="100" spans="2:19" ht="14.25" customHeight="1">
      <c r="B100" s="56" t="str">
        <f t="shared" si="2"/>
        <v/>
      </c>
      <c r="C100" s="56"/>
      <c r="D100" s="66"/>
      <c r="E100" s="56"/>
      <c r="F100" s="381"/>
      <c r="G100" s="344"/>
      <c r="H100" s="56"/>
      <c r="I100" s="56"/>
      <c r="J100" s="56"/>
      <c r="K100" s="89" t="str">
        <f>IFERROR(VLOOKUP(CONCATENATE(Issues_table[[#This Row],[Priority]],Issues_table[[#This Row],[Severity]]),'Issue data'!$A$2:$B$10,2,FALSE),"")</f>
        <v/>
      </c>
      <c r="L100" s="56"/>
      <c r="M100" s="56"/>
      <c r="N100" s="56"/>
      <c r="O100" s="56"/>
      <c r="P100" s="56"/>
      <c r="Q100" s="56"/>
      <c r="S100" s="56"/>
    </row>
    <row r="101" spans="2:19" ht="14.25" customHeight="1">
      <c r="B101"/>
      <c r="C101"/>
      <c r="D101" s="576"/>
      <c r="E101"/>
      <c r="F101"/>
      <c r="G101"/>
      <c r="H101"/>
      <c r="I101"/>
      <c r="J101"/>
      <c r="K101" t="str">
        <f>IFERROR(VLOOKUP(CONCATENATE(Issues_table[[#This Row],[Priority]],Issues_table[[#This Row],[Severity]]),'Issue data'!$A$2:$B$10,2,FALSE),"")</f>
        <v/>
      </c>
      <c r="L101"/>
      <c r="M101"/>
      <c r="N101"/>
      <c r="O101"/>
      <c r="P101"/>
      <c r="Q101"/>
      <c r="S101"/>
    </row>
    <row r="102" spans="2:19" ht="14.25" customHeight="1">
      <c r="B102"/>
      <c r="C102"/>
      <c r="D102" s="576"/>
      <c r="E102"/>
      <c r="F102"/>
      <c r="G102"/>
      <c r="H102"/>
      <c r="I102"/>
      <c r="J102"/>
      <c r="K102" t="str">
        <f>IFERROR(VLOOKUP(CONCATENATE(Issues_table[[#This Row],[Priority]],Issues_table[[#This Row],[Severity]]),'Issue data'!$A$2:$B$10,2,FALSE),"")</f>
        <v/>
      </c>
      <c r="L102"/>
      <c r="M102"/>
      <c r="N102"/>
      <c r="O102"/>
      <c r="P102"/>
      <c r="Q102"/>
      <c r="S102"/>
    </row>
    <row r="103" spans="2:19" ht="14.25" customHeight="1">
      <c r="B103"/>
      <c r="C103"/>
      <c r="D103" s="576"/>
      <c r="E103"/>
      <c r="F103"/>
      <c r="G103"/>
      <c r="H103"/>
      <c r="I103"/>
      <c r="J103"/>
      <c r="K103" t="str">
        <f>IFERROR(VLOOKUP(CONCATENATE(Issues_table[[#This Row],[Priority]],Issues_table[[#This Row],[Severity]]),'Issue data'!$A$2:$B$10,2,FALSE),"")</f>
        <v/>
      </c>
      <c r="L103"/>
      <c r="M103"/>
      <c r="N103"/>
      <c r="O103"/>
      <c r="P103"/>
      <c r="Q103"/>
      <c r="S103"/>
    </row>
    <row r="104" spans="2:19" ht="14.25" customHeight="1">
      <c r="B104"/>
      <c r="C104"/>
      <c r="D104" s="576"/>
      <c r="E104"/>
      <c r="F104"/>
      <c r="G104"/>
      <c r="H104"/>
      <c r="I104"/>
      <c r="J104"/>
      <c r="K104" t="str">
        <f>IFERROR(VLOOKUP(CONCATENATE(Issues_table[[#This Row],[Priority]],Issues_table[[#This Row],[Severity]]),'Issue data'!$A$2:$B$10,2,FALSE),"")</f>
        <v/>
      </c>
      <c r="L104"/>
      <c r="M104"/>
      <c r="N104"/>
      <c r="O104"/>
      <c r="P104"/>
      <c r="Q104"/>
      <c r="S104"/>
    </row>
    <row r="105" spans="2:19" ht="14.25" customHeight="1">
      <c r="B105"/>
      <c r="C105"/>
      <c r="D105" s="576"/>
      <c r="E105"/>
      <c r="F105"/>
      <c r="G105"/>
      <c r="H105"/>
      <c r="I105"/>
      <c r="J105"/>
      <c r="K105" t="str">
        <f>IFERROR(VLOOKUP(CONCATENATE(Issues_table[[#This Row],[Priority]],Issues_table[[#This Row],[Severity]]),'Issue data'!$A$2:$B$10,2,FALSE),"")</f>
        <v/>
      </c>
      <c r="L105"/>
      <c r="M105"/>
      <c r="N105"/>
      <c r="O105"/>
      <c r="P105"/>
      <c r="Q105"/>
      <c r="S105"/>
    </row>
    <row r="106" spans="2:19" ht="14.25" customHeight="1">
      <c r="B106"/>
      <c r="C106"/>
      <c r="D106" s="576"/>
      <c r="E106"/>
      <c r="F106"/>
      <c r="G106"/>
      <c r="H106"/>
      <c r="I106"/>
      <c r="J106"/>
      <c r="K106" t="str">
        <f>IFERROR(VLOOKUP(CONCATENATE(Issues_table[[#This Row],[Priority]],Issues_table[[#This Row],[Severity]]),'Issue data'!$A$2:$B$10,2,FALSE),"")</f>
        <v/>
      </c>
      <c r="L106"/>
      <c r="M106"/>
      <c r="N106"/>
      <c r="O106"/>
      <c r="P106"/>
      <c r="Q106"/>
      <c r="S106"/>
    </row>
    <row r="107" spans="2:19" ht="14.25" customHeight="1">
      <c r="B107"/>
      <c r="C107"/>
      <c r="D107" s="576"/>
      <c r="E107"/>
      <c r="F107"/>
      <c r="G107"/>
      <c r="H107"/>
      <c r="I107"/>
      <c r="J107"/>
      <c r="K107" t="str">
        <f>IFERROR(VLOOKUP(CONCATENATE(Issues_table[[#This Row],[Priority]],Issues_table[[#This Row],[Severity]]),'Issue data'!$A$2:$B$10,2,FALSE),"")</f>
        <v/>
      </c>
      <c r="L107"/>
      <c r="M107"/>
      <c r="N107"/>
      <c r="O107"/>
      <c r="P107"/>
      <c r="Q107"/>
      <c r="S107"/>
    </row>
  </sheetData>
  <dataConsolidate/>
  <mergeCells count="4">
    <mergeCell ref="B1:F1"/>
    <mergeCell ref="B2:F2"/>
    <mergeCell ref="B3:F3"/>
    <mergeCell ref="B4:F4"/>
  </mergeCells>
  <conditionalFormatting sqref="K8:K100">
    <cfRule type="containsText" dxfId="316" priority="181" operator="containsText" text="Low">
      <formula>NOT(ISERROR(SEARCH("Low",K8)))</formula>
    </cfRule>
  </conditionalFormatting>
  <conditionalFormatting sqref="K10">
    <cfRule type="containsText" dxfId="315" priority="180" operator="containsText" text="High">
      <formula>NOT(ISERROR(SEARCH("High",K10)))</formula>
    </cfRule>
  </conditionalFormatting>
  <conditionalFormatting sqref="K11:K12 K16 K32 K34 K42 K48 K50:K51 K53:K100">
    <cfRule type="containsText" dxfId="314" priority="179" operator="containsText" text="Critical">
      <formula>NOT(ISERROR(SEARCH("Critical",K11)))</formula>
    </cfRule>
  </conditionalFormatting>
  <conditionalFormatting sqref="K33:K100">
    <cfRule type="containsText" dxfId="313" priority="178" operator="containsText" text="Low">
      <formula>NOT(ISERROR(SEARCH("Low",K33)))</formula>
    </cfRule>
  </conditionalFormatting>
  <conditionalFormatting sqref="K8:K100">
    <cfRule type="cellIs" dxfId="312" priority="174" operator="equal">
      <formula>"Critical"</formula>
    </cfRule>
    <cfRule type="cellIs" dxfId="311" priority="175" operator="equal">
      <formula>"High"</formula>
    </cfRule>
    <cfRule type="cellIs" dxfId="310" priority="176" operator="equal">
      <formula>"Medium"</formula>
    </cfRule>
    <cfRule type="cellIs" dxfId="309" priority="177" operator="equal">
      <formula>"Low"</formula>
    </cfRule>
  </conditionalFormatting>
  <conditionalFormatting sqref="K9">
    <cfRule type="cellIs" dxfId="308" priority="171" operator="equal">
      <formula>"Medium"</formula>
    </cfRule>
    <cfRule type="cellIs" dxfId="307" priority="172" operator="equal">
      <formula>"Low"</formula>
    </cfRule>
    <cfRule type="cellIs" dxfId="306" priority="173" operator="equal">
      <formula>"High"</formula>
    </cfRule>
  </conditionalFormatting>
  <conditionalFormatting sqref="K8:K100">
    <cfRule type="cellIs" dxfId="305" priority="168" operator="equal">
      <formula>"Low"</formula>
    </cfRule>
    <cfRule type="cellIs" dxfId="304" priority="169" operator="equal">
      <formula>"Medium"</formula>
    </cfRule>
    <cfRule type="cellIs" dxfId="303" priority="170" operator="equal">
      <formula>"High"</formula>
    </cfRule>
  </conditionalFormatting>
  <conditionalFormatting sqref="F56">
    <cfRule type="colorScale" priority="167">
      <colorScale>
        <cfvo type="min"/>
        <cfvo type="max"/>
        <color rgb="FFFF7128"/>
        <color rgb="FFFFEF9C"/>
      </colorScale>
    </cfRule>
  </conditionalFormatting>
  <conditionalFormatting sqref="L56">
    <cfRule type="containsText" dxfId="302" priority="162" operator="containsText" text="Negligible">
      <formula>NOT(ISERROR(SEARCH("Negligible",L56)))</formula>
    </cfRule>
    <cfRule type="containsText" dxfId="301" priority="163" operator="containsText" text="Minor">
      <formula>NOT(ISERROR(SEARCH("Minor",L56)))</formula>
    </cfRule>
    <cfRule type="containsText" dxfId="300" priority="164" operator="containsText" text="Moderate">
      <formula>NOT(ISERROR(SEARCH("Moderate",L56)))</formula>
    </cfRule>
    <cfRule type="containsText" dxfId="299" priority="165" operator="containsText" text="Major">
      <formula>NOT(ISERROR(SEARCH("Major",L56)))</formula>
    </cfRule>
    <cfRule type="containsText" dxfId="298" priority="166" operator="containsText" text="Severe">
      <formula>NOT(ISERROR(SEARCH("Severe",L56)))</formula>
    </cfRule>
  </conditionalFormatting>
  <conditionalFormatting sqref="F57">
    <cfRule type="colorScale" priority="161">
      <colorScale>
        <cfvo type="min"/>
        <cfvo type="max"/>
        <color rgb="FFFF7128"/>
        <color rgb="FFFFEF9C"/>
      </colorScale>
    </cfRule>
  </conditionalFormatting>
  <conditionalFormatting sqref="L57">
    <cfRule type="containsText" dxfId="297" priority="156" operator="containsText" text="Negligible">
      <formula>NOT(ISERROR(SEARCH("Negligible",L57)))</formula>
    </cfRule>
    <cfRule type="containsText" dxfId="296" priority="157" operator="containsText" text="Minor">
      <formula>NOT(ISERROR(SEARCH("Minor",L57)))</formula>
    </cfRule>
    <cfRule type="containsText" dxfId="295" priority="158" operator="containsText" text="Moderate">
      <formula>NOT(ISERROR(SEARCH("Moderate",L57)))</formula>
    </cfRule>
    <cfRule type="containsText" dxfId="294" priority="159" operator="containsText" text="Major">
      <formula>NOT(ISERROR(SEARCH("Major",L57)))</formula>
    </cfRule>
    <cfRule type="containsText" dxfId="293" priority="160" operator="containsText" text="Severe">
      <formula>NOT(ISERROR(SEARCH("Severe",L57)))</formula>
    </cfRule>
  </conditionalFormatting>
  <conditionalFormatting sqref="F58">
    <cfRule type="colorScale" priority="155">
      <colorScale>
        <cfvo type="min"/>
        <cfvo type="max"/>
        <color rgb="FFFF7128"/>
        <color rgb="FFFFEF9C"/>
      </colorScale>
    </cfRule>
  </conditionalFormatting>
  <conditionalFormatting sqref="L58">
    <cfRule type="containsText" dxfId="292" priority="150" operator="containsText" text="Negligible">
      <formula>NOT(ISERROR(SEARCH("Negligible",L58)))</formula>
    </cfRule>
    <cfRule type="containsText" dxfId="291" priority="151" operator="containsText" text="Minor">
      <formula>NOT(ISERROR(SEARCH("Minor",L58)))</formula>
    </cfRule>
    <cfRule type="containsText" dxfId="290" priority="152" operator="containsText" text="Moderate">
      <formula>NOT(ISERROR(SEARCH("Moderate",L58)))</formula>
    </cfRule>
    <cfRule type="containsText" dxfId="289" priority="153" operator="containsText" text="Major">
      <formula>NOT(ISERROR(SEARCH("Major",L58)))</formula>
    </cfRule>
    <cfRule type="containsText" dxfId="288" priority="154" operator="containsText" text="Severe">
      <formula>NOT(ISERROR(SEARCH("Severe",L58)))</formula>
    </cfRule>
  </conditionalFormatting>
  <conditionalFormatting sqref="F59">
    <cfRule type="colorScale" priority="149">
      <colorScale>
        <cfvo type="min"/>
        <cfvo type="max"/>
        <color rgb="FFFF7128"/>
        <color rgb="FFFFEF9C"/>
      </colorScale>
    </cfRule>
  </conditionalFormatting>
  <conditionalFormatting sqref="L59">
    <cfRule type="containsText" dxfId="287" priority="144" operator="containsText" text="Negligible">
      <formula>NOT(ISERROR(SEARCH("Negligible",L59)))</formula>
    </cfRule>
    <cfRule type="containsText" dxfId="286" priority="145" operator="containsText" text="Minor">
      <formula>NOT(ISERROR(SEARCH("Minor",L59)))</formula>
    </cfRule>
    <cfRule type="containsText" dxfId="285" priority="146" operator="containsText" text="Moderate">
      <formula>NOT(ISERROR(SEARCH("Moderate",L59)))</formula>
    </cfRule>
    <cfRule type="containsText" dxfId="284" priority="147" operator="containsText" text="Major">
      <formula>NOT(ISERROR(SEARCH("Major",L59)))</formula>
    </cfRule>
    <cfRule type="containsText" dxfId="283" priority="148" operator="containsText" text="Severe">
      <formula>NOT(ISERROR(SEARCH("Severe",L59)))</formula>
    </cfRule>
  </conditionalFormatting>
  <conditionalFormatting sqref="L60">
    <cfRule type="containsText" dxfId="282" priority="139" operator="containsText" text="Negligible">
      <formula>NOT(ISERROR(SEARCH("Negligible",L60)))</formula>
    </cfRule>
    <cfRule type="containsText" dxfId="281" priority="140" operator="containsText" text="Minor">
      <formula>NOT(ISERROR(SEARCH("Minor",L60)))</formula>
    </cfRule>
    <cfRule type="containsText" dxfId="280" priority="141" operator="containsText" text="Moderate">
      <formula>NOT(ISERROR(SEARCH("Moderate",L60)))</formula>
    </cfRule>
    <cfRule type="containsText" dxfId="279" priority="142" operator="containsText" text="Major">
      <formula>NOT(ISERROR(SEARCH("Major",L60)))</formula>
    </cfRule>
    <cfRule type="containsText" dxfId="278" priority="143" operator="containsText" text="Severe">
      <formula>NOT(ISERROR(SEARCH("Severe",L60)))</formula>
    </cfRule>
  </conditionalFormatting>
  <conditionalFormatting sqref="F61">
    <cfRule type="colorScale" priority="138">
      <colorScale>
        <cfvo type="min"/>
        <cfvo type="max"/>
        <color rgb="FFFF7128"/>
        <color rgb="FFFFEF9C"/>
      </colorScale>
    </cfRule>
  </conditionalFormatting>
  <conditionalFormatting sqref="L61">
    <cfRule type="containsText" dxfId="277" priority="133" operator="containsText" text="Negligible">
      <formula>NOT(ISERROR(SEARCH("Negligible",L61)))</formula>
    </cfRule>
    <cfRule type="containsText" dxfId="276" priority="134" operator="containsText" text="Minor">
      <formula>NOT(ISERROR(SEARCH("Minor",L61)))</formula>
    </cfRule>
    <cfRule type="containsText" dxfId="275" priority="135" operator="containsText" text="Moderate">
      <formula>NOT(ISERROR(SEARCH("Moderate",L61)))</formula>
    </cfRule>
    <cfRule type="containsText" dxfId="274" priority="136" operator="containsText" text="Major">
      <formula>NOT(ISERROR(SEARCH("Major",L61)))</formula>
    </cfRule>
    <cfRule type="containsText" dxfId="273" priority="137" operator="containsText" text="Severe">
      <formula>NOT(ISERROR(SEARCH("Severe",L61)))</formula>
    </cfRule>
  </conditionalFormatting>
  <conditionalFormatting sqref="F62">
    <cfRule type="colorScale" priority="132">
      <colorScale>
        <cfvo type="min"/>
        <cfvo type="max"/>
        <color rgb="FFFF7128"/>
        <color rgb="FFFFEF9C"/>
      </colorScale>
    </cfRule>
  </conditionalFormatting>
  <conditionalFormatting sqref="L62">
    <cfRule type="containsText" dxfId="272" priority="127" operator="containsText" text="Negligible">
      <formula>NOT(ISERROR(SEARCH("Negligible",L62)))</formula>
    </cfRule>
    <cfRule type="containsText" dxfId="271" priority="128" operator="containsText" text="Minor">
      <formula>NOT(ISERROR(SEARCH("Minor",L62)))</formula>
    </cfRule>
    <cfRule type="containsText" dxfId="270" priority="129" operator="containsText" text="Moderate">
      <formula>NOT(ISERROR(SEARCH("Moderate",L62)))</formula>
    </cfRule>
    <cfRule type="containsText" dxfId="269" priority="130" operator="containsText" text="Major">
      <formula>NOT(ISERROR(SEARCH("Major",L62)))</formula>
    </cfRule>
    <cfRule type="containsText" dxfId="268" priority="131" operator="containsText" text="Severe">
      <formula>NOT(ISERROR(SEARCH("Severe",L62)))</formula>
    </cfRule>
  </conditionalFormatting>
  <conditionalFormatting sqref="L63">
    <cfRule type="containsText" dxfId="267" priority="122" operator="containsText" text="Negligible">
      <formula>NOT(ISERROR(SEARCH("Negligible",L63)))</formula>
    </cfRule>
    <cfRule type="containsText" dxfId="266" priority="123" operator="containsText" text="Minor">
      <formula>NOT(ISERROR(SEARCH("Minor",L63)))</formula>
    </cfRule>
    <cfRule type="containsText" dxfId="265" priority="124" operator="containsText" text="Moderate">
      <formula>NOT(ISERROR(SEARCH("Moderate",L63)))</formula>
    </cfRule>
    <cfRule type="containsText" dxfId="264" priority="125" operator="containsText" text="Major">
      <formula>NOT(ISERROR(SEARCH("Major",L63)))</formula>
    </cfRule>
    <cfRule type="containsText" dxfId="263" priority="126" operator="containsText" text="Severe">
      <formula>NOT(ISERROR(SEARCH("Severe",L63)))</formula>
    </cfRule>
  </conditionalFormatting>
  <conditionalFormatting sqref="F64">
    <cfRule type="colorScale" priority="121">
      <colorScale>
        <cfvo type="min"/>
        <cfvo type="max"/>
        <color rgb="FFFF7128"/>
        <color rgb="FFFFEF9C"/>
      </colorScale>
    </cfRule>
  </conditionalFormatting>
  <conditionalFormatting sqref="L64">
    <cfRule type="containsText" dxfId="262" priority="116" operator="containsText" text="Negligible">
      <formula>NOT(ISERROR(SEARCH("Negligible",L64)))</formula>
    </cfRule>
    <cfRule type="containsText" dxfId="261" priority="117" operator="containsText" text="Minor">
      <formula>NOT(ISERROR(SEARCH("Minor",L64)))</formula>
    </cfRule>
    <cfRule type="containsText" dxfId="260" priority="118" operator="containsText" text="Moderate">
      <formula>NOT(ISERROR(SEARCH("Moderate",L64)))</formula>
    </cfRule>
    <cfRule type="containsText" dxfId="259" priority="119" operator="containsText" text="Major">
      <formula>NOT(ISERROR(SEARCH("Major",L64)))</formula>
    </cfRule>
    <cfRule type="containsText" dxfId="258" priority="120" operator="containsText" text="Severe">
      <formula>NOT(ISERROR(SEARCH("Severe",L64)))</formula>
    </cfRule>
  </conditionalFormatting>
  <conditionalFormatting sqref="L65">
    <cfRule type="containsText" dxfId="257" priority="111" operator="containsText" text="Negligible">
      <formula>NOT(ISERROR(SEARCH("Negligible",L65)))</formula>
    </cfRule>
    <cfRule type="containsText" dxfId="256" priority="112" operator="containsText" text="Minor">
      <formula>NOT(ISERROR(SEARCH("Minor",L65)))</formula>
    </cfRule>
    <cfRule type="containsText" dxfId="255" priority="113" operator="containsText" text="Moderate">
      <formula>NOT(ISERROR(SEARCH("Moderate",L65)))</formula>
    </cfRule>
    <cfRule type="containsText" dxfId="254" priority="114" operator="containsText" text="Major">
      <formula>NOT(ISERROR(SEARCH("Major",L65)))</formula>
    </cfRule>
    <cfRule type="containsText" dxfId="253" priority="115" operator="containsText" text="Severe">
      <formula>NOT(ISERROR(SEARCH("Severe",L65)))</formula>
    </cfRule>
  </conditionalFormatting>
  <conditionalFormatting sqref="L66">
    <cfRule type="containsText" dxfId="252" priority="106" operator="containsText" text="Negligible">
      <formula>NOT(ISERROR(SEARCH("Negligible",L66)))</formula>
    </cfRule>
    <cfRule type="containsText" dxfId="251" priority="107" operator="containsText" text="Minor">
      <formula>NOT(ISERROR(SEARCH("Minor",L66)))</formula>
    </cfRule>
    <cfRule type="containsText" dxfId="250" priority="108" operator="containsText" text="Moderate">
      <formula>NOT(ISERROR(SEARCH("Moderate",L66)))</formula>
    </cfRule>
    <cfRule type="containsText" dxfId="249" priority="109" operator="containsText" text="Major">
      <formula>NOT(ISERROR(SEARCH("Major",L66)))</formula>
    </cfRule>
    <cfRule type="containsText" dxfId="248" priority="110" operator="containsText" text="Severe">
      <formula>NOT(ISERROR(SEARCH("Severe",L66)))</formula>
    </cfRule>
  </conditionalFormatting>
  <conditionalFormatting sqref="L67">
    <cfRule type="containsText" dxfId="247" priority="101" operator="containsText" text="Negligible">
      <formula>NOT(ISERROR(SEARCH("Negligible",L67)))</formula>
    </cfRule>
    <cfRule type="containsText" dxfId="246" priority="102" operator="containsText" text="Minor">
      <formula>NOT(ISERROR(SEARCH("Minor",L67)))</formula>
    </cfRule>
    <cfRule type="containsText" dxfId="245" priority="103" operator="containsText" text="Moderate">
      <formula>NOT(ISERROR(SEARCH("Moderate",L67)))</formula>
    </cfRule>
    <cfRule type="containsText" dxfId="244" priority="104" operator="containsText" text="Major">
      <formula>NOT(ISERROR(SEARCH("Major",L67)))</formula>
    </cfRule>
    <cfRule type="containsText" dxfId="243" priority="105" operator="containsText" text="Severe">
      <formula>NOT(ISERROR(SEARCH("Severe",L67)))</formula>
    </cfRule>
  </conditionalFormatting>
  <conditionalFormatting sqref="L68">
    <cfRule type="containsText" dxfId="242" priority="96" operator="containsText" text="Negligible">
      <formula>NOT(ISERROR(SEARCH("Negligible",L68)))</formula>
    </cfRule>
    <cfRule type="containsText" dxfId="241" priority="97" operator="containsText" text="Minor">
      <formula>NOT(ISERROR(SEARCH("Minor",L68)))</formula>
    </cfRule>
    <cfRule type="containsText" dxfId="240" priority="98" operator="containsText" text="Moderate">
      <formula>NOT(ISERROR(SEARCH("Moderate",L68)))</formula>
    </cfRule>
    <cfRule type="containsText" dxfId="239" priority="99" operator="containsText" text="Major">
      <formula>NOT(ISERROR(SEARCH("Major",L68)))</formula>
    </cfRule>
    <cfRule type="containsText" dxfId="238" priority="100" operator="containsText" text="Severe">
      <formula>NOT(ISERROR(SEARCH("Severe",L68)))</formula>
    </cfRule>
  </conditionalFormatting>
  <conditionalFormatting sqref="L69">
    <cfRule type="containsText" dxfId="237" priority="91" operator="containsText" text="Negligible">
      <formula>NOT(ISERROR(SEARCH("Negligible",L69)))</formula>
    </cfRule>
    <cfRule type="containsText" dxfId="236" priority="92" operator="containsText" text="Minor">
      <formula>NOT(ISERROR(SEARCH("Minor",L69)))</formula>
    </cfRule>
    <cfRule type="containsText" dxfId="235" priority="93" operator="containsText" text="Moderate">
      <formula>NOT(ISERROR(SEARCH("Moderate",L69)))</formula>
    </cfRule>
    <cfRule type="containsText" dxfId="234" priority="94" operator="containsText" text="Major">
      <formula>NOT(ISERROR(SEARCH("Major",L69)))</formula>
    </cfRule>
    <cfRule type="containsText" dxfId="233" priority="95" operator="containsText" text="Severe">
      <formula>NOT(ISERROR(SEARCH("Severe",L69)))</formula>
    </cfRule>
  </conditionalFormatting>
  <conditionalFormatting sqref="L70">
    <cfRule type="containsText" dxfId="232" priority="86" operator="containsText" text="Negligible">
      <formula>NOT(ISERROR(SEARCH("Negligible",L70)))</formula>
    </cfRule>
    <cfRule type="containsText" dxfId="231" priority="87" operator="containsText" text="Minor">
      <formula>NOT(ISERROR(SEARCH("Minor",L70)))</formula>
    </cfRule>
    <cfRule type="containsText" dxfId="230" priority="88" operator="containsText" text="Moderate">
      <formula>NOT(ISERROR(SEARCH("Moderate",L70)))</formula>
    </cfRule>
    <cfRule type="containsText" dxfId="229" priority="89" operator="containsText" text="Major">
      <formula>NOT(ISERROR(SEARCH("Major",L70)))</formula>
    </cfRule>
    <cfRule type="containsText" dxfId="228" priority="90" operator="containsText" text="Severe">
      <formula>NOT(ISERROR(SEARCH("Severe",L70)))</formula>
    </cfRule>
  </conditionalFormatting>
  <conditionalFormatting sqref="L71">
    <cfRule type="containsText" dxfId="227" priority="81" operator="containsText" text="Negligible">
      <formula>NOT(ISERROR(SEARCH("Negligible",L71)))</formula>
    </cfRule>
    <cfRule type="containsText" dxfId="226" priority="82" operator="containsText" text="Minor">
      <formula>NOT(ISERROR(SEARCH("Minor",L71)))</formula>
    </cfRule>
    <cfRule type="containsText" dxfId="225" priority="83" operator="containsText" text="Moderate">
      <formula>NOT(ISERROR(SEARCH("Moderate",L71)))</formula>
    </cfRule>
    <cfRule type="containsText" dxfId="224" priority="84" operator="containsText" text="Major">
      <formula>NOT(ISERROR(SEARCH("Major",L71)))</formula>
    </cfRule>
    <cfRule type="containsText" dxfId="223" priority="85" operator="containsText" text="Severe">
      <formula>NOT(ISERROR(SEARCH("Severe",L71)))</formula>
    </cfRule>
  </conditionalFormatting>
  <conditionalFormatting sqref="L72">
    <cfRule type="containsText" dxfId="222" priority="76" operator="containsText" text="Negligible">
      <formula>NOT(ISERROR(SEARCH("Negligible",L72)))</formula>
    </cfRule>
    <cfRule type="containsText" dxfId="221" priority="77" operator="containsText" text="Minor">
      <formula>NOT(ISERROR(SEARCH("Minor",L72)))</formula>
    </cfRule>
    <cfRule type="containsText" dxfId="220" priority="78" operator="containsText" text="Moderate">
      <formula>NOT(ISERROR(SEARCH("Moderate",L72)))</formula>
    </cfRule>
    <cfRule type="containsText" dxfId="219" priority="79" operator="containsText" text="Major">
      <formula>NOT(ISERROR(SEARCH("Major",L72)))</formula>
    </cfRule>
    <cfRule type="containsText" dxfId="218" priority="80" operator="containsText" text="Severe">
      <formula>NOT(ISERROR(SEARCH("Severe",L72)))</formula>
    </cfRule>
  </conditionalFormatting>
  <conditionalFormatting sqref="L73">
    <cfRule type="containsText" dxfId="217" priority="71" operator="containsText" text="Negligible">
      <formula>NOT(ISERROR(SEARCH("Negligible",L73)))</formula>
    </cfRule>
    <cfRule type="containsText" dxfId="216" priority="72" operator="containsText" text="Minor">
      <formula>NOT(ISERROR(SEARCH("Minor",L73)))</formula>
    </cfRule>
    <cfRule type="containsText" dxfId="215" priority="73" operator="containsText" text="Moderate">
      <formula>NOT(ISERROR(SEARCH("Moderate",L73)))</formula>
    </cfRule>
    <cfRule type="containsText" dxfId="214" priority="74" operator="containsText" text="Major">
      <formula>NOT(ISERROR(SEARCH("Major",L73)))</formula>
    </cfRule>
    <cfRule type="containsText" dxfId="213" priority="75" operator="containsText" text="Severe">
      <formula>NOT(ISERROR(SEARCH("Severe",L73)))</formula>
    </cfRule>
  </conditionalFormatting>
  <conditionalFormatting sqref="L74">
    <cfRule type="containsText" dxfId="212" priority="66" operator="containsText" text="Negligible">
      <formula>NOT(ISERROR(SEARCH("Negligible",L74)))</formula>
    </cfRule>
    <cfRule type="containsText" dxfId="211" priority="67" operator="containsText" text="Minor">
      <formula>NOT(ISERROR(SEARCH("Minor",L74)))</formula>
    </cfRule>
    <cfRule type="containsText" dxfId="210" priority="68" operator="containsText" text="Moderate">
      <formula>NOT(ISERROR(SEARCH("Moderate",L74)))</formula>
    </cfRule>
    <cfRule type="containsText" dxfId="209" priority="69" operator="containsText" text="Major">
      <formula>NOT(ISERROR(SEARCH("Major",L74)))</formula>
    </cfRule>
    <cfRule type="containsText" dxfId="208" priority="70" operator="containsText" text="Severe">
      <formula>NOT(ISERROR(SEARCH("Severe",L74)))</formula>
    </cfRule>
  </conditionalFormatting>
  <conditionalFormatting sqref="L75">
    <cfRule type="containsText" dxfId="207" priority="61" operator="containsText" text="Negligible">
      <formula>NOT(ISERROR(SEARCH("Negligible",L75)))</formula>
    </cfRule>
    <cfRule type="containsText" dxfId="206" priority="62" operator="containsText" text="Minor">
      <formula>NOT(ISERROR(SEARCH("Minor",L75)))</formula>
    </cfRule>
    <cfRule type="containsText" dxfId="205" priority="63" operator="containsText" text="Moderate">
      <formula>NOT(ISERROR(SEARCH("Moderate",L75)))</formula>
    </cfRule>
    <cfRule type="containsText" dxfId="204" priority="64" operator="containsText" text="Major">
      <formula>NOT(ISERROR(SEARCH("Major",L75)))</formula>
    </cfRule>
    <cfRule type="containsText" dxfId="203" priority="65" operator="containsText" text="Severe">
      <formula>NOT(ISERROR(SEARCH("Severe",L75)))</formula>
    </cfRule>
  </conditionalFormatting>
  <conditionalFormatting sqref="L76">
    <cfRule type="containsText" dxfId="202" priority="56" operator="containsText" text="Negligible">
      <formula>NOT(ISERROR(SEARCH("Negligible",L76)))</formula>
    </cfRule>
    <cfRule type="containsText" dxfId="201" priority="57" operator="containsText" text="Minor">
      <formula>NOT(ISERROR(SEARCH("Minor",L76)))</formula>
    </cfRule>
    <cfRule type="containsText" dxfId="200" priority="58" operator="containsText" text="Moderate">
      <formula>NOT(ISERROR(SEARCH("Moderate",L76)))</formula>
    </cfRule>
    <cfRule type="containsText" dxfId="199" priority="59" operator="containsText" text="Major">
      <formula>NOT(ISERROR(SEARCH("Major",L76)))</formula>
    </cfRule>
    <cfRule type="containsText" dxfId="198" priority="60" operator="containsText" text="Severe">
      <formula>NOT(ISERROR(SEARCH("Severe",L76)))</formula>
    </cfRule>
  </conditionalFormatting>
  <conditionalFormatting sqref="L77">
    <cfRule type="containsText" dxfId="197" priority="51" operator="containsText" text="Negligible">
      <formula>NOT(ISERROR(SEARCH("Negligible",L77)))</formula>
    </cfRule>
    <cfRule type="containsText" dxfId="196" priority="52" operator="containsText" text="Minor">
      <formula>NOT(ISERROR(SEARCH("Minor",L77)))</formula>
    </cfRule>
    <cfRule type="containsText" dxfId="195" priority="53" operator="containsText" text="Moderate">
      <formula>NOT(ISERROR(SEARCH("Moderate",L77)))</formula>
    </cfRule>
    <cfRule type="containsText" dxfId="194" priority="54" operator="containsText" text="Major">
      <formula>NOT(ISERROR(SEARCH("Major",L77)))</formula>
    </cfRule>
    <cfRule type="containsText" dxfId="193" priority="55" operator="containsText" text="Severe">
      <formula>NOT(ISERROR(SEARCH("Severe",L77)))</formula>
    </cfRule>
  </conditionalFormatting>
  <conditionalFormatting sqref="L78">
    <cfRule type="containsText" dxfId="192" priority="46" operator="containsText" text="Negligible">
      <formula>NOT(ISERROR(SEARCH("Negligible",L78)))</formula>
    </cfRule>
    <cfRule type="containsText" dxfId="191" priority="47" operator="containsText" text="Minor">
      <formula>NOT(ISERROR(SEARCH("Minor",L78)))</formula>
    </cfRule>
    <cfRule type="containsText" dxfId="190" priority="48" operator="containsText" text="Moderate">
      <formula>NOT(ISERROR(SEARCH("Moderate",L78)))</formula>
    </cfRule>
    <cfRule type="containsText" dxfId="189" priority="49" operator="containsText" text="Major">
      <formula>NOT(ISERROR(SEARCH("Major",L78)))</formula>
    </cfRule>
    <cfRule type="containsText" dxfId="188" priority="50" operator="containsText" text="Severe">
      <formula>NOT(ISERROR(SEARCH("Severe",L78)))</formula>
    </cfRule>
  </conditionalFormatting>
  <conditionalFormatting sqref="L79">
    <cfRule type="containsText" dxfId="187" priority="41" operator="containsText" text="Negligible">
      <formula>NOT(ISERROR(SEARCH("Negligible",L79)))</formula>
    </cfRule>
    <cfRule type="containsText" dxfId="186" priority="42" operator="containsText" text="Minor">
      <formula>NOT(ISERROR(SEARCH("Minor",L79)))</formula>
    </cfRule>
    <cfRule type="containsText" dxfId="185" priority="43" operator="containsText" text="Moderate">
      <formula>NOT(ISERROR(SEARCH("Moderate",L79)))</formula>
    </cfRule>
    <cfRule type="containsText" dxfId="184" priority="44" operator="containsText" text="Major">
      <formula>NOT(ISERROR(SEARCH("Major",L79)))</formula>
    </cfRule>
    <cfRule type="containsText" dxfId="183" priority="45" operator="containsText" text="Severe">
      <formula>NOT(ISERROR(SEARCH("Severe",L79)))</formula>
    </cfRule>
  </conditionalFormatting>
  <conditionalFormatting sqref="L80">
    <cfRule type="containsText" dxfId="182" priority="36" operator="containsText" text="Negligible">
      <formula>NOT(ISERROR(SEARCH("Negligible",L80)))</formula>
    </cfRule>
    <cfRule type="containsText" dxfId="181" priority="37" operator="containsText" text="Minor">
      <formula>NOT(ISERROR(SEARCH("Minor",L80)))</formula>
    </cfRule>
    <cfRule type="containsText" dxfId="180" priority="38" operator="containsText" text="Moderate">
      <formula>NOT(ISERROR(SEARCH("Moderate",L80)))</formula>
    </cfRule>
    <cfRule type="containsText" dxfId="179" priority="39" operator="containsText" text="Major">
      <formula>NOT(ISERROR(SEARCH("Major",L80)))</formula>
    </cfRule>
    <cfRule type="containsText" dxfId="178" priority="40" operator="containsText" text="Severe">
      <formula>NOT(ISERROR(SEARCH("Severe",L80)))</formula>
    </cfRule>
  </conditionalFormatting>
  <conditionalFormatting sqref="L81">
    <cfRule type="containsText" dxfId="177" priority="31" operator="containsText" text="Negligible">
      <formula>NOT(ISERROR(SEARCH("Negligible",L81)))</formula>
    </cfRule>
    <cfRule type="containsText" dxfId="176" priority="32" operator="containsText" text="Minor">
      <formula>NOT(ISERROR(SEARCH("Minor",L81)))</formula>
    </cfRule>
    <cfRule type="containsText" dxfId="175" priority="33" operator="containsText" text="Moderate">
      <formula>NOT(ISERROR(SEARCH("Moderate",L81)))</formula>
    </cfRule>
    <cfRule type="containsText" dxfId="174" priority="34" operator="containsText" text="Major">
      <formula>NOT(ISERROR(SEARCH("Major",L81)))</formula>
    </cfRule>
    <cfRule type="containsText" dxfId="173" priority="35" operator="containsText" text="Severe">
      <formula>NOT(ISERROR(SEARCH("Severe",L81)))</formula>
    </cfRule>
  </conditionalFormatting>
  <conditionalFormatting sqref="L82">
    <cfRule type="containsText" dxfId="172" priority="26" operator="containsText" text="Negligible">
      <formula>NOT(ISERROR(SEARCH("Negligible",L82)))</formula>
    </cfRule>
    <cfRule type="containsText" dxfId="171" priority="27" operator="containsText" text="Minor">
      <formula>NOT(ISERROR(SEARCH("Minor",L82)))</formula>
    </cfRule>
    <cfRule type="containsText" dxfId="170" priority="28" operator="containsText" text="Moderate">
      <formula>NOT(ISERROR(SEARCH("Moderate",L82)))</formula>
    </cfRule>
    <cfRule type="containsText" dxfId="169" priority="29" operator="containsText" text="Major">
      <formula>NOT(ISERROR(SEARCH("Major",L82)))</formula>
    </cfRule>
    <cfRule type="containsText" dxfId="168" priority="30" operator="containsText" text="Severe">
      <formula>NOT(ISERROR(SEARCH("Severe",L82)))</formula>
    </cfRule>
  </conditionalFormatting>
  <conditionalFormatting sqref="L83">
    <cfRule type="containsText" dxfId="167" priority="21" operator="containsText" text="Negligible">
      <formula>NOT(ISERROR(SEARCH("Negligible",L83)))</formula>
    </cfRule>
    <cfRule type="containsText" dxfId="166" priority="22" operator="containsText" text="Minor">
      <formula>NOT(ISERROR(SEARCH("Minor",L83)))</formula>
    </cfRule>
    <cfRule type="containsText" dxfId="165" priority="23" operator="containsText" text="Moderate">
      <formula>NOT(ISERROR(SEARCH("Moderate",L83)))</formula>
    </cfRule>
    <cfRule type="containsText" dxfId="164" priority="24" operator="containsText" text="Major">
      <formula>NOT(ISERROR(SEARCH("Major",L83)))</formula>
    </cfRule>
    <cfRule type="containsText" dxfId="163" priority="25" operator="containsText" text="Severe">
      <formula>NOT(ISERROR(SEARCH("Severe",L83)))</formula>
    </cfRule>
  </conditionalFormatting>
  <conditionalFormatting sqref="L84">
    <cfRule type="containsText" dxfId="162" priority="16" operator="containsText" text="Negligible">
      <formula>NOT(ISERROR(SEARCH("Negligible",L84)))</formula>
    </cfRule>
    <cfRule type="containsText" dxfId="161" priority="17" operator="containsText" text="Minor">
      <formula>NOT(ISERROR(SEARCH("Minor",L84)))</formula>
    </cfRule>
    <cfRule type="containsText" dxfId="160" priority="18" operator="containsText" text="Moderate">
      <formula>NOT(ISERROR(SEARCH("Moderate",L84)))</formula>
    </cfRule>
    <cfRule type="containsText" dxfId="159" priority="19" operator="containsText" text="Major">
      <formula>NOT(ISERROR(SEARCH("Major",L84)))</formula>
    </cfRule>
    <cfRule type="containsText" dxfId="158" priority="20" operator="containsText" text="Severe">
      <formula>NOT(ISERROR(SEARCH("Severe",L84)))</formula>
    </cfRule>
  </conditionalFormatting>
  <conditionalFormatting sqref="L85">
    <cfRule type="containsText" dxfId="157" priority="11" operator="containsText" text="Negligible">
      <formula>NOT(ISERROR(SEARCH("Negligible",L85)))</formula>
    </cfRule>
    <cfRule type="containsText" dxfId="156" priority="12" operator="containsText" text="Minor">
      <formula>NOT(ISERROR(SEARCH("Minor",L85)))</formula>
    </cfRule>
    <cfRule type="containsText" dxfId="155" priority="13" operator="containsText" text="Moderate">
      <formula>NOT(ISERROR(SEARCH("Moderate",L85)))</formula>
    </cfRule>
    <cfRule type="containsText" dxfId="154" priority="14" operator="containsText" text="Major">
      <formula>NOT(ISERROR(SEARCH("Major",L85)))</formula>
    </cfRule>
    <cfRule type="containsText" dxfId="153" priority="15" operator="containsText" text="Severe">
      <formula>NOT(ISERROR(SEARCH("Severe",L85)))</formula>
    </cfRule>
  </conditionalFormatting>
  <conditionalFormatting sqref="L86">
    <cfRule type="containsText" dxfId="152" priority="6" operator="containsText" text="Negligible">
      <formula>NOT(ISERROR(SEARCH("Negligible",L86)))</formula>
    </cfRule>
    <cfRule type="containsText" dxfId="151" priority="7" operator="containsText" text="Minor">
      <formula>NOT(ISERROR(SEARCH("Minor",L86)))</formula>
    </cfRule>
    <cfRule type="containsText" dxfId="150" priority="8" operator="containsText" text="Moderate">
      <formula>NOT(ISERROR(SEARCH("Moderate",L86)))</formula>
    </cfRule>
    <cfRule type="containsText" dxfId="149" priority="9" operator="containsText" text="Major">
      <formula>NOT(ISERROR(SEARCH("Major",L86)))</formula>
    </cfRule>
    <cfRule type="containsText" dxfId="148" priority="10" operator="containsText" text="Severe">
      <formula>NOT(ISERROR(SEARCH("Severe",L86)))</formula>
    </cfRule>
  </conditionalFormatting>
  <conditionalFormatting sqref="L87">
    <cfRule type="containsText" dxfId="147" priority="1" operator="containsText" text="Negligible">
      <formula>NOT(ISERROR(SEARCH("Negligible",L87)))</formula>
    </cfRule>
    <cfRule type="containsText" dxfId="146" priority="2" operator="containsText" text="Minor">
      <formula>NOT(ISERROR(SEARCH("Minor",L87)))</formula>
    </cfRule>
    <cfRule type="containsText" dxfId="145" priority="3" operator="containsText" text="Moderate">
      <formula>NOT(ISERROR(SEARCH("Moderate",L87)))</formula>
    </cfRule>
    <cfRule type="containsText" dxfId="144" priority="4" operator="containsText" text="Major">
      <formula>NOT(ISERROR(SEARCH("Major",L87)))</formula>
    </cfRule>
    <cfRule type="containsText" dxfId="143" priority="5" operator="containsText" text="Severe">
      <formula>NOT(ISERROR(SEARCH("Severe",L87)))</formula>
    </cfRule>
  </conditionalFormatting>
  <dataValidations count="1">
    <dataValidation type="list" allowBlank="1" showInputMessage="1" showErrorMessage="1" sqref="V4 Q4" xr:uid="{5CA4DBE6-B4D7-4FC6-8375-A1B7A173D59A}">
      <formula1>#REF!</formula1>
    </dataValidation>
  </dataValidations>
  <pageMargins left="0.70866141732283472" right="0.70866141732283472" top="0.74803149606299213" bottom="0.74803149606299213" header="0.31496062992125984" footer="0.31496062992125984"/>
  <pageSetup paperSize="8" scale="65" fitToHeight="0" orientation="landscape"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E030709-FDE8-45B1-A896-C8BF701643D8}">
          <x14:formula1>
            <xm:f>'Issue data'!$L$2:$L$6</xm:f>
          </x14:formula1>
          <xm:sqref>Q11 Q16 Q32 Q34 Q42 Q50:Q51 Q48 Q53:Q100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0CF17-F6ED-4ED1-8965-4D0576125203}">
  <sheetPr codeName="Sheet9"/>
  <dimension ref="A1:N42"/>
  <sheetViews>
    <sheetView topLeftCell="A20" zoomScaleNormal="100" workbookViewId="0">
      <selection activeCell="F2" sqref="A1:F1048576"/>
    </sheetView>
  </sheetViews>
  <sheetFormatPr defaultRowHeight="13.2"/>
  <cols>
    <col min="1" max="1" width="27.6640625" customWidth="1"/>
    <col min="2" max="2" width="22.109375" customWidth="1"/>
    <col min="3" max="3" width="36.6640625" customWidth="1"/>
    <col min="4" max="4" width="20.88671875" customWidth="1"/>
    <col min="5" max="5" width="22.6640625" customWidth="1"/>
    <col min="6" max="6" width="28.33203125" customWidth="1"/>
    <col min="7" max="7" width="22.6640625" customWidth="1"/>
    <col min="8" max="8" width="23.88671875" customWidth="1"/>
    <col min="9" max="9" width="34" customWidth="1"/>
    <col min="10" max="10" width="20" customWidth="1"/>
    <col min="11" max="11" width="22.6640625" customWidth="1"/>
    <col min="12" max="12" width="18.6640625" customWidth="1"/>
    <col min="13" max="13" width="15.6640625" customWidth="1"/>
    <col min="14" max="14" width="20.33203125" customWidth="1"/>
    <col min="15" max="15" width="19.88671875" customWidth="1"/>
    <col min="16" max="16" width="16.6640625" customWidth="1"/>
    <col min="17" max="17" width="19.6640625" customWidth="1"/>
    <col min="18" max="18" width="19.109375" customWidth="1"/>
    <col min="19" max="19" width="16.88671875" customWidth="1"/>
    <col min="20" max="20" width="16.33203125" customWidth="1"/>
    <col min="22" max="22" width="15.109375" customWidth="1"/>
    <col min="23" max="23" width="14.33203125" customWidth="1"/>
    <col min="24" max="24" width="15.109375" customWidth="1"/>
  </cols>
  <sheetData>
    <row r="1" spans="1:14" ht="97.5" customHeight="1">
      <c r="A1" s="844" t="s">
        <v>994</v>
      </c>
      <c r="B1" s="845"/>
      <c r="C1" s="845"/>
      <c r="D1" s="845"/>
      <c r="E1" s="845"/>
      <c r="F1" s="845"/>
      <c r="G1" s="244"/>
      <c r="H1" s="244"/>
      <c r="I1" s="244"/>
      <c r="J1" s="244"/>
      <c r="K1" s="244"/>
      <c r="L1" s="244"/>
      <c r="M1" s="244"/>
      <c r="N1" s="244"/>
    </row>
    <row r="2" spans="1:14">
      <c r="A2" s="40"/>
      <c r="B2" s="40"/>
      <c r="C2" s="40"/>
      <c r="D2" s="40"/>
      <c r="E2" s="40"/>
      <c r="F2" s="40"/>
    </row>
    <row r="3" spans="1:14" ht="23.25" customHeight="1">
      <c r="A3" s="846" t="s">
        <v>995</v>
      </c>
      <c r="B3" s="846"/>
      <c r="C3" s="846"/>
      <c r="D3" s="846"/>
      <c r="E3" s="846"/>
      <c r="F3" s="846"/>
      <c r="G3" s="243"/>
      <c r="H3" s="243"/>
      <c r="I3" s="243"/>
      <c r="J3" s="243"/>
      <c r="K3" s="243"/>
      <c r="L3" s="243"/>
      <c r="M3" s="243"/>
      <c r="N3" s="243"/>
    </row>
    <row r="4" spans="1:14">
      <c r="A4" s="249"/>
      <c r="B4" s="249"/>
      <c r="C4" s="249"/>
      <c r="D4" s="249"/>
      <c r="E4" s="249"/>
      <c r="F4" s="249"/>
      <c r="G4" s="90"/>
      <c r="H4" s="90"/>
      <c r="I4" s="90"/>
      <c r="J4" s="90"/>
      <c r="K4" s="90"/>
      <c r="L4" s="90"/>
      <c r="M4" s="90"/>
      <c r="N4" s="90"/>
    </row>
    <row r="5" spans="1:14" ht="29.55" customHeight="1">
      <c r="A5" s="847" t="s">
        <v>1155</v>
      </c>
      <c r="B5" s="847"/>
      <c r="C5" s="847"/>
      <c r="D5" s="847"/>
      <c r="E5" s="847"/>
      <c r="F5" s="847"/>
      <c r="G5" s="1"/>
      <c r="H5" s="1"/>
      <c r="I5" s="1"/>
      <c r="J5" s="1"/>
      <c r="K5" s="1"/>
      <c r="L5" s="1"/>
      <c r="M5" s="1"/>
      <c r="N5" s="1"/>
    </row>
    <row r="6" spans="1:14">
      <c r="A6" s="249"/>
      <c r="B6" s="249"/>
      <c r="C6" s="249"/>
      <c r="D6" s="249"/>
      <c r="E6" s="249"/>
      <c r="F6" s="249"/>
      <c r="G6" s="90"/>
      <c r="H6" s="90"/>
      <c r="I6" s="90"/>
      <c r="J6" s="90"/>
      <c r="K6" s="90"/>
      <c r="L6" s="90"/>
      <c r="M6" s="90"/>
      <c r="N6" s="90"/>
    </row>
    <row r="7" spans="1:14" ht="70.5" customHeight="1">
      <c r="A7" s="848" t="s">
        <v>1154</v>
      </c>
      <c r="B7" s="848"/>
      <c r="C7" s="848"/>
      <c r="D7" s="848"/>
      <c r="E7" s="848"/>
      <c r="F7" s="848"/>
      <c r="G7" s="1"/>
      <c r="H7" s="1"/>
      <c r="I7" s="1"/>
      <c r="J7" s="1"/>
      <c r="K7" s="1"/>
      <c r="L7" s="1"/>
      <c r="M7" s="1"/>
      <c r="N7" s="1"/>
    </row>
    <row r="8" spans="1:14">
      <c r="A8" s="249"/>
      <c r="B8" s="249"/>
      <c r="C8" s="249"/>
      <c r="D8" s="249"/>
      <c r="E8" s="249"/>
      <c r="F8" s="249"/>
      <c r="G8" s="90"/>
      <c r="H8" s="90"/>
      <c r="I8" s="90"/>
      <c r="J8" s="90"/>
      <c r="K8" s="90"/>
      <c r="L8" s="90"/>
      <c r="M8" s="90"/>
      <c r="N8" s="90"/>
    </row>
    <row r="9" spans="1:14">
      <c r="A9" s="249"/>
      <c r="B9" s="249"/>
      <c r="C9" s="249"/>
      <c r="D9" s="249"/>
      <c r="E9" s="249"/>
      <c r="F9" s="249"/>
      <c r="G9" s="90"/>
      <c r="H9" s="90"/>
      <c r="I9" s="90"/>
      <c r="J9" s="90"/>
      <c r="K9" s="90"/>
      <c r="L9" s="90"/>
      <c r="M9" s="90"/>
      <c r="N9" s="90"/>
    </row>
    <row r="10" spans="1:14">
      <c r="A10" s="249"/>
      <c r="B10" s="249"/>
      <c r="C10" s="249"/>
      <c r="D10" s="249"/>
      <c r="E10" s="249"/>
      <c r="F10" s="249"/>
      <c r="G10" s="90"/>
      <c r="H10" s="90"/>
      <c r="I10" s="90"/>
      <c r="J10" s="90"/>
      <c r="K10" s="90"/>
      <c r="L10" s="90"/>
      <c r="M10" s="90"/>
      <c r="N10" s="90"/>
    </row>
    <row r="11" spans="1:14" ht="23.25" customHeight="1">
      <c r="A11" s="849" t="s">
        <v>996</v>
      </c>
      <c r="B11" s="849"/>
      <c r="C11" s="849"/>
      <c r="D11" s="849"/>
      <c r="E11" s="849"/>
      <c r="F11" s="849"/>
      <c r="G11" s="243"/>
      <c r="H11" s="243"/>
      <c r="I11" s="243"/>
      <c r="J11" s="243"/>
      <c r="K11" s="243"/>
      <c r="L11" s="243"/>
      <c r="M11" s="243"/>
      <c r="N11" s="243"/>
    </row>
    <row r="12" spans="1:14">
      <c r="A12" s="249"/>
      <c r="B12" s="249"/>
      <c r="C12" s="249"/>
      <c r="D12" s="249"/>
      <c r="E12" s="249"/>
      <c r="F12" s="249"/>
      <c r="G12" s="90"/>
      <c r="H12" s="90"/>
      <c r="I12" s="90"/>
      <c r="J12" s="90"/>
      <c r="K12" s="90"/>
      <c r="L12" s="90"/>
      <c r="M12" s="90"/>
      <c r="N12" s="90"/>
    </row>
    <row r="13" spans="1:14" ht="37.5" customHeight="1">
      <c r="A13" s="850" t="s">
        <v>1151</v>
      </c>
      <c r="B13" s="851"/>
      <c r="C13" s="851"/>
      <c r="D13" s="851"/>
      <c r="E13" s="851"/>
      <c r="F13" s="852"/>
      <c r="G13" s="1"/>
      <c r="H13" s="1"/>
      <c r="I13" s="1"/>
      <c r="J13" s="1"/>
      <c r="K13" s="1"/>
      <c r="L13" s="1"/>
      <c r="M13" s="1"/>
      <c r="N13" s="1"/>
    </row>
    <row r="14" spans="1:14" ht="38.25" customHeight="1">
      <c r="A14" s="850" t="s">
        <v>997</v>
      </c>
      <c r="B14" s="851"/>
      <c r="C14" s="851"/>
      <c r="D14" s="851"/>
      <c r="E14" s="851"/>
      <c r="F14" s="852"/>
      <c r="G14" s="1"/>
      <c r="H14" s="1"/>
      <c r="I14" s="1"/>
      <c r="J14" s="1"/>
      <c r="K14" s="1"/>
      <c r="L14" s="1"/>
      <c r="M14" s="1"/>
      <c r="N14" s="1"/>
    </row>
    <row r="16" spans="1:14" ht="22.8">
      <c r="A16" s="843" t="s">
        <v>991</v>
      </c>
      <c r="B16" s="843"/>
      <c r="C16" s="843"/>
      <c r="D16" s="843"/>
      <c r="E16" s="843"/>
      <c r="F16" s="843"/>
      <c r="G16" s="843"/>
      <c r="H16" s="843"/>
      <c r="I16" s="843"/>
      <c r="J16" s="843"/>
      <c r="K16" s="843"/>
      <c r="L16" s="843"/>
      <c r="M16" s="843"/>
      <c r="N16" s="843"/>
    </row>
    <row r="17" spans="1:14">
      <c r="A17" s="134"/>
    </row>
    <row r="18" spans="1:14" ht="26.4">
      <c r="A18" s="241" t="s">
        <v>772</v>
      </c>
      <c r="B18" s="241" t="s">
        <v>437</v>
      </c>
      <c r="C18" s="241" t="s">
        <v>438</v>
      </c>
      <c r="D18" s="241" t="s">
        <v>508</v>
      </c>
      <c r="E18" s="241" t="s">
        <v>843</v>
      </c>
      <c r="F18" s="241" t="s">
        <v>773</v>
      </c>
      <c r="G18" s="241" t="s">
        <v>844</v>
      </c>
      <c r="H18" s="241" t="s">
        <v>845</v>
      </c>
      <c r="I18" s="241" t="s">
        <v>946</v>
      </c>
      <c r="J18" s="241" t="s">
        <v>456</v>
      </c>
      <c r="K18" s="241" t="s">
        <v>105</v>
      </c>
      <c r="L18" s="241" t="s">
        <v>846</v>
      </c>
      <c r="M18" s="241" t="s">
        <v>987</v>
      </c>
      <c r="N18" s="241" t="s">
        <v>847</v>
      </c>
    </row>
    <row r="19" spans="1:14" ht="64.5" customHeight="1">
      <c r="A19" s="136" t="s">
        <v>848</v>
      </c>
      <c r="B19" s="107" t="s">
        <v>36</v>
      </c>
      <c r="C19" s="107" t="s">
        <v>271</v>
      </c>
      <c r="D19" s="107" t="s">
        <v>781</v>
      </c>
      <c r="E19" s="107" t="s">
        <v>849</v>
      </c>
      <c r="F19" s="221" t="s">
        <v>495</v>
      </c>
      <c r="G19" s="107" t="s">
        <v>850</v>
      </c>
      <c r="H19" s="107" t="s">
        <v>851</v>
      </c>
      <c r="I19" s="136" t="s">
        <v>947</v>
      </c>
      <c r="J19" s="245">
        <v>2.1000000000000001E-2</v>
      </c>
      <c r="K19" s="248" t="s">
        <v>798</v>
      </c>
      <c r="L19" s="107" t="s">
        <v>853</v>
      </c>
      <c r="M19" s="107" t="s">
        <v>988</v>
      </c>
      <c r="N19" s="107" t="s">
        <v>854</v>
      </c>
    </row>
    <row r="20" spans="1:14" ht="39.6">
      <c r="A20" s="126"/>
      <c r="B20" s="107" t="s">
        <v>9</v>
      </c>
      <c r="C20" s="107" t="s">
        <v>271</v>
      </c>
      <c r="D20" s="126"/>
      <c r="E20" s="126"/>
      <c r="F20" s="251"/>
      <c r="G20" s="107" t="s">
        <v>684</v>
      </c>
      <c r="H20" s="107" t="s">
        <v>855</v>
      </c>
      <c r="I20" s="136" t="s">
        <v>948</v>
      </c>
      <c r="J20" s="221">
        <v>0.95</v>
      </c>
      <c r="K20" s="248" t="s">
        <v>798</v>
      </c>
      <c r="L20" s="107" t="s">
        <v>857</v>
      </c>
      <c r="M20" s="107" t="s">
        <v>990</v>
      </c>
      <c r="N20" s="107" t="s">
        <v>858</v>
      </c>
    </row>
    <row r="21" spans="1:14" ht="39.6">
      <c r="A21" s="126"/>
      <c r="B21" s="107" t="s">
        <v>36</v>
      </c>
      <c r="C21" s="107" t="s">
        <v>359</v>
      </c>
      <c r="D21" s="126"/>
      <c r="E21" s="126"/>
      <c r="F21" s="251"/>
      <c r="G21" s="107" t="s">
        <v>783</v>
      </c>
      <c r="H21" s="107" t="s">
        <v>859</v>
      </c>
      <c r="I21" s="136" t="s">
        <v>949</v>
      </c>
      <c r="J21" s="245">
        <v>2.5000000000000001E-2</v>
      </c>
      <c r="K21" s="247" t="s">
        <v>786</v>
      </c>
      <c r="L21" s="107" t="s">
        <v>860</v>
      </c>
      <c r="M21" s="107" t="s">
        <v>988</v>
      </c>
      <c r="N21" s="107" t="s">
        <v>861</v>
      </c>
    </row>
    <row r="22" spans="1:14" ht="52.8">
      <c r="A22" s="136" t="s">
        <v>862</v>
      </c>
      <c r="B22" s="107" t="s">
        <v>36</v>
      </c>
      <c r="C22" s="107" t="s">
        <v>359</v>
      </c>
      <c r="D22" s="107" t="s">
        <v>589</v>
      </c>
      <c r="E22" s="107" t="s">
        <v>863</v>
      </c>
      <c r="F22" s="221" t="s">
        <v>992</v>
      </c>
      <c r="G22" s="107" t="s">
        <v>864</v>
      </c>
      <c r="H22" s="107" t="s">
        <v>865</v>
      </c>
      <c r="I22" s="136" t="s">
        <v>947</v>
      </c>
      <c r="J22" s="221" t="s">
        <v>792</v>
      </c>
      <c r="K22" s="247" t="s">
        <v>786</v>
      </c>
      <c r="L22" s="107" t="s">
        <v>866</v>
      </c>
      <c r="M22" s="107" t="s">
        <v>988</v>
      </c>
      <c r="N22" s="107" t="s">
        <v>950</v>
      </c>
    </row>
    <row r="23" spans="1:14" ht="39.6">
      <c r="A23" s="126"/>
      <c r="B23" s="107" t="s">
        <v>36</v>
      </c>
      <c r="C23" s="107" t="s">
        <v>870</v>
      </c>
      <c r="D23" s="107" t="s">
        <v>644</v>
      </c>
      <c r="E23" s="107" t="s">
        <v>867</v>
      </c>
      <c r="F23" s="221" t="s">
        <v>856</v>
      </c>
      <c r="G23" s="107" t="s">
        <v>868</v>
      </c>
      <c r="H23" s="107" t="s">
        <v>869</v>
      </c>
      <c r="I23" s="136" t="s">
        <v>951</v>
      </c>
      <c r="J23" s="221" t="s">
        <v>871</v>
      </c>
      <c r="K23" s="248" t="s">
        <v>798</v>
      </c>
      <c r="L23" s="107" t="s">
        <v>872</v>
      </c>
      <c r="M23" s="107" t="s">
        <v>990</v>
      </c>
      <c r="N23" s="107" t="s">
        <v>873</v>
      </c>
    </row>
    <row r="24" spans="1:14" ht="39.6">
      <c r="A24" s="136" t="s">
        <v>799</v>
      </c>
      <c r="B24" s="107" t="s">
        <v>32</v>
      </c>
      <c r="C24" s="107" t="s">
        <v>877</v>
      </c>
      <c r="D24" s="107" t="s">
        <v>800</v>
      </c>
      <c r="E24" s="107" t="s">
        <v>874</v>
      </c>
      <c r="F24" s="221" t="s">
        <v>993</v>
      </c>
      <c r="G24" s="107" t="s">
        <v>875</v>
      </c>
      <c r="H24" s="107" t="s">
        <v>876</v>
      </c>
      <c r="I24" s="136" t="s">
        <v>952</v>
      </c>
      <c r="J24" s="221">
        <v>0.8</v>
      </c>
      <c r="K24" s="247" t="s">
        <v>786</v>
      </c>
      <c r="L24" s="107" t="s">
        <v>878</v>
      </c>
      <c r="M24" s="107" t="s">
        <v>989</v>
      </c>
      <c r="N24" s="107" t="s">
        <v>879</v>
      </c>
    </row>
    <row r="25" spans="1:14" ht="26.4">
      <c r="A25" s="126"/>
      <c r="B25" s="107" t="s">
        <v>32</v>
      </c>
      <c r="C25" s="107" t="s">
        <v>877</v>
      </c>
      <c r="D25" s="126"/>
      <c r="E25" s="126"/>
      <c r="F25" s="251"/>
      <c r="G25" s="107" t="s">
        <v>484</v>
      </c>
      <c r="H25" s="107" t="s">
        <v>880</v>
      </c>
      <c r="I25" s="136" t="s">
        <v>953</v>
      </c>
      <c r="J25" s="221">
        <v>12</v>
      </c>
      <c r="K25" s="247" t="s">
        <v>786</v>
      </c>
      <c r="L25" s="107" t="s">
        <v>881</v>
      </c>
      <c r="M25" s="107" t="s">
        <v>989</v>
      </c>
      <c r="N25" s="107" t="s">
        <v>882</v>
      </c>
    </row>
    <row r="26" spans="1:14" ht="39.6">
      <c r="A26" s="126"/>
      <c r="B26" s="107" t="s">
        <v>32</v>
      </c>
      <c r="C26" s="107" t="s">
        <v>877</v>
      </c>
      <c r="D26" s="126"/>
      <c r="E26" s="126"/>
      <c r="F26" s="251"/>
      <c r="G26" s="107" t="s">
        <v>803</v>
      </c>
      <c r="H26" s="107" t="s">
        <v>883</v>
      </c>
      <c r="I26" s="136" t="s">
        <v>954</v>
      </c>
      <c r="J26" s="246">
        <v>0.94</v>
      </c>
      <c r="K26" s="247" t="s">
        <v>786</v>
      </c>
      <c r="L26" s="107" t="s">
        <v>884</v>
      </c>
      <c r="M26" s="107" t="s">
        <v>990</v>
      </c>
      <c r="N26" s="107" t="s">
        <v>885</v>
      </c>
    </row>
    <row r="27" spans="1:14" ht="39.6">
      <c r="A27" s="136" t="s">
        <v>886</v>
      </c>
      <c r="B27" s="107" t="s">
        <v>24</v>
      </c>
      <c r="C27" s="107" t="s">
        <v>877</v>
      </c>
      <c r="D27" s="107" t="s">
        <v>532</v>
      </c>
      <c r="E27" s="107" t="s">
        <v>887</v>
      </c>
      <c r="F27" s="246">
        <v>1</v>
      </c>
      <c r="G27" s="107" t="s">
        <v>475</v>
      </c>
      <c r="H27" s="107" t="s">
        <v>880</v>
      </c>
      <c r="I27" s="136" t="s">
        <v>955</v>
      </c>
      <c r="J27" s="221">
        <v>4</v>
      </c>
      <c r="K27" s="247" t="s">
        <v>786</v>
      </c>
      <c r="L27" s="107" t="s">
        <v>888</v>
      </c>
      <c r="M27" s="107" t="s">
        <v>990</v>
      </c>
      <c r="N27" s="107" t="s">
        <v>889</v>
      </c>
    </row>
    <row r="28" spans="1:14" ht="26.4">
      <c r="A28" s="126"/>
      <c r="B28" s="107" t="s">
        <v>726</v>
      </c>
      <c r="C28" s="107" t="s">
        <v>359</v>
      </c>
      <c r="D28" s="126"/>
      <c r="E28" s="126"/>
      <c r="F28" s="251"/>
      <c r="G28" s="107" t="s">
        <v>890</v>
      </c>
      <c r="H28" s="107" t="s">
        <v>891</v>
      </c>
      <c r="I28" s="136" t="s">
        <v>956</v>
      </c>
      <c r="J28" s="221" t="s">
        <v>892</v>
      </c>
      <c r="K28" s="247" t="s">
        <v>786</v>
      </c>
      <c r="L28" s="107" t="s">
        <v>893</v>
      </c>
      <c r="M28" s="107" t="s">
        <v>990</v>
      </c>
      <c r="N28" s="107" t="s">
        <v>894</v>
      </c>
    </row>
    <row r="29" spans="1:14" ht="39.6">
      <c r="A29" s="126"/>
      <c r="B29" s="107" t="s">
        <v>897</v>
      </c>
      <c r="C29" s="107" t="s">
        <v>877</v>
      </c>
      <c r="D29" s="126"/>
      <c r="E29" s="126"/>
      <c r="F29" s="251"/>
      <c r="G29" s="107" t="s">
        <v>895</v>
      </c>
      <c r="H29" s="107" t="s">
        <v>896</v>
      </c>
      <c r="I29" s="136" t="s">
        <v>957</v>
      </c>
      <c r="J29" s="221" t="s">
        <v>898</v>
      </c>
      <c r="K29" s="248" t="s">
        <v>798</v>
      </c>
      <c r="L29" s="107" t="s">
        <v>899</v>
      </c>
      <c r="M29" s="107" t="s">
        <v>988</v>
      </c>
      <c r="N29" s="107" t="s">
        <v>900</v>
      </c>
    </row>
    <row r="30" spans="1:14" ht="39.6">
      <c r="A30" s="136" t="s">
        <v>901</v>
      </c>
      <c r="B30" s="107" t="s">
        <v>40</v>
      </c>
      <c r="C30" s="107" t="s">
        <v>271</v>
      </c>
      <c r="D30" s="107" t="s">
        <v>809</v>
      </c>
      <c r="E30" s="107" t="s">
        <v>902</v>
      </c>
      <c r="F30" s="221" t="s">
        <v>810</v>
      </c>
      <c r="G30" s="107" t="s">
        <v>903</v>
      </c>
      <c r="H30" s="107" t="s">
        <v>904</v>
      </c>
      <c r="I30" s="136" t="s">
        <v>958</v>
      </c>
      <c r="J30" s="246">
        <v>0.82</v>
      </c>
      <c r="K30" s="247" t="s">
        <v>786</v>
      </c>
      <c r="L30" s="107" t="s">
        <v>905</v>
      </c>
      <c r="M30" s="107" t="s">
        <v>990</v>
      </c>
      <c r="N30" s="107" t="s">
        <v>906</v>
      </c>
    </row>
    <row r="31" spans="1:14" ht="39.6">
      <c r="A31" s="126"/>
      <c r="B31" s="107" t="s">
        <v>40</v>
      </c>
      <c r="C31" s="107" t="s">
        <v>271</v>
      </c>
      <c r="D31" s="107" t="s">
        <v>907</v>
      </c>
      <c r="E31" s="107" t="s">
        <v>908</v>
      </c>
      <c r="F31" s="221" t="s">
        <v>909</v>
      </c>
      <c r="G31" s="107" t="s">
        <v>910</v>
      </c>
      <c r="H31" s="107" t="s">
        <v>911</v>
      </c>
      <c r="I31" s="136" t="s">
        <v>959</v>
      </c>
      <c r="J31" s="246">
        <v>0.15</v>
      </c>
      <c r="K31" s="247" t="s">
        <v>786</v>
      </c>
      <c r="L31" s="107" t="s">
        <v>912</v>
      </c>
      <c r="M31" s="107" t="s">
        <v>988</v>
      </c>
      <c r="N31" s="107" t="s">
        <v>913</v>
      </c>
    </row>
    <row r="32" spans="1:14" ht="39.6">
      <c r="A32" s="126"/>
      <c r="B32" s="107" t="s">
        <v>40</v>
      </c>
      <c r="C32" s="107" t="s">
        <v>271</v>
      </c>
      <c r="D32" s="126"/>
      <c r="E32" s="126"/>
      <c r="F32" s="251"/>
      <c r="G32" s="107" t="s">
        <v>499</v>
      </c>
      <c r="H32" s="107" t="s">
        <v>880</v>
      </c>
      <c r="I32" s="136" t="s">
        <v>955</v>
      </c>
      <c r="J32" s="221">
        <v>4</v>
      </c>
      <c r="K32" s="247" t="s">
        <v>786</v>
      </c>
      <c r="L32" s="107" t="s">
        <v>914</v>
      </c>
      <c r="M32" s="107" t="s">
        <v>988</v>
      </c>
      <c r="N32" s="107" t="s">
        <v>889</v>
      </c>
    </row>
    <row r="33" spans="1:14" ht="66">
      <c r="A33" s="136" t="s">
        <v>915</v>
      </c>
      <c r="B33" s="107" t="s">
        <v>9</v>
      </c>
      <c r="C33" s="107" t="s">
        <v>359</v>
      </c>
      <c r="D33" s="107" t="s">
        <v>813</v>
      </c>
      <c r="E33" s="107" t="s">
        <v>916</v>
      </c>
      <c r="F33" s="221" t="s">
        <v>810</v>
      </c>
      <c r="G33" s="107" t="s">
        <v>492</v>
      </c>
      <c r="H33" s="107" t="s">
        <v>880</v>
      </c>
      <c r="I33" s="136" t="s">
        <v>955</v>
      </c>
      <c r="J33" s="221">
        <v>3</v>
      </c>
      <c r="K33" s="248" t="s">
        <v>798</v>
      </c>
      <c r="L33" s="107" t="s">
        <v>917</v>
      </c>
      <c r="M33" s="107" t="s">
        <v>988</v>
      </c>
      <c r="N33" s="107" t="s">
        <v>889</v>
      </c>
    </row>
    <row r="34" spans="1:14" ht="39.6">
      <c r="A34" s="126"/>
      <c r="B34" s="107" t="s">
        <v>9</v>
      </c>
      <c r="C34" s="107" t="s">
        <v>359</v>
      </c>
      <c r="D34" s="107" t="s">
        <v>494</v>
      </c>
      <c r="E34" s="107" t="s">
        <v>918</v>
      </c>
      <c r="F34" s="221" t="s">
        <v>909</v>
      </c>
      <c r="G34" s="107" t="s">
        <v>919</v>
      </c>
      <c r="H34" s="107" t="s">
        <v>920</v>
      </c>
      <c r="I34" s="136" t="s">
        <v>960</v>
      </c>
      <c r="J34" s="246">
        <v>0.85</v>
      </c>
      <c r="K34" s="247" t="s">
        <v>786</v>
      </c>
      <c r="L34" s="107" t="s">
        <v>921</v>
      </c>
      <c r="M34" s="107" t="s">
        <v>988</v>
      </c>
      <c r="N34" s="107" t="s">
        <v>922</v>
      </c>
    </row>
    <row r="35" spans="1:14" ht="66">
      <c r="A35" s="136" t="s">
        <v>923</v>
      </c>
      <c r="B35" s="107" t="s">
        <v>24</v>
      </c>
      <c r="C35" s="107" t="s">
        <v>359</v>
      </c>
      <c r="D35" s="107" t="s">
        <v>924</v>
      </c>
      <c r="E35" s="107" t="s">
        <v>925</v>
      </c>
      <c r="F35" s="221" t="s">
        <v>495</v>
      </c>
      <c r="G35" s="107" t="s">
        <v>926</v>
      </c>
      <c r="H35" s="107" t="s">
        <v>927</v>
      </c>
      <c r="I35" s="136" t="s">
        <v>961</v>
      </c>
      <c r="J35" s="246">
        <v>0.87</v>
      </c>
      <c r="K35" s="247" t="s">
        <v>786</v>
      </c>
      <c r="L35" s="107" t="s">
        <v>928</v>
      </c>
      <c r="M35" s="107" t="s">
        <v>988</v>
      </c>
      <c r="N35" s="107" t="s">
        <v>929</v>
      </c>
    </row>
    <row r="36" spans="1:14" ht="52.8">
      <c r="A36" s="126"/>
      <c r="B36" s="107" t="s">
        <v>24</v>
      </c>
      <c r="C36" s="107" t="s">
        <v>359</v>
      </c>
      <c r="D36" s="126"/>
      <c r="E36" s="126"/>
      <c r="F36" s="251"/>
      <c r="G36" s="107" t="s">
        <v>930</v>
      </c>
      <c r="H36" s="107" t="s">
        <v>931</v>
      </c>
      <c r="I36" s="136" t="s">
        <v>962</v>
      </c>
      <c r="J36" s="221" t="s">
        <v>932</v>
      </c>
      <c r="K36" s="247" t="s">
        <v>786</v>
      </c>
      <c r="L36" s="107" t="s">
        <v>933</v>
      </c>
      <c r="M36" s="107" t="s">
        <v>990</v>
      </c>
      <c r="N36" s="107" t="s">
        <v>934</v>
      </c>
    </row>
    <row r="37" spans="1:14" ht="66">
      <c r="A37" s="136" t="s">
        <v>935</v>
      </c>
      <c r="B37" s="107" t="s">
        <v>36</v>
      </c>
      <c r="C37" s="107" t="s">
        <v>271</v>
      </c>
      <c r="D37" s="107" t="s">
        <v>936</v>
      </c>
      <c r="E37" s="107" t="s">
        <v>937</v>
      </c>
      <c r="F37" s="221" t="s">
        <v>938</v>
      </c>
      <c r="G37" s="107" t="s">
        <v>939</v>
      </c>
      <c r="H37" s="107" t="s">
        <v>880</v>
      </c>
      <c r="I37" s="136" t="s">
        <v>953</v>
      </c>
      <c r="J37" s="221" t="s">
        <v>782</v>
      </c>
      <c r="K37" s="107" t="s">
        <v>940</v>
      </c>
      <c r="L37" s="107" t="s">
        <v>941</v>
      </c>
      <c r="M37" s="107" t="s">
        <v>988</v>
      </c>
      <c r="N37" s="107" t="s">
        <v>882</v>
      </c>
    </row>
    <row r="38" spans="1:14" ht="39.6">
      <c r="A38" s="126"/>
      <c r="B38" s="107" t="s">
        <v>36</v>
      </c>
      <c r="C38" s="107" t="s">
        <v>271</v>
      </c>
      <c r="D38" s="126"/>
      <c r="E38" s="126"/>
      <c r="F38" s="251"/>
      <c r="G38" s="107" t="s">
        <v>942</v>
      </c>
      <c r="H38" s="107" t="s">
        <v>943</v>
      </c>
      <c r="I38" s="136" t="s">
        <v>963</v>
      </c>
      <c r="J38" s="221" t="s">
        <v>782</v>
      </c>
      <c r="K38" s="107" t="s">
        <v>940</v>
      </c>
      <c r="L38" s="107" t="s">
        <v>944</v>
      </c>
      <c r="M38" s="107" t="s">
        <v>988</v>
      </c>
      <c r="N38" s="107" t="s">
        <v>945</v>
      </c>
    </row>
    <row r="39" spans="1:14" ht="52.8">
      <c r="A39" s="136" t="s">
        <v>964</v>
      </c>
      <c r="B39" s="107" t="s">
        <v>969</v>
      </c>
      <c r="C39" s="107" t="s">
        <v>359</v>
      </c>
      <c r="D39" s="107" t="s">
        <v>965</v>
      </c>
      <c r="E39" s="107" t="s">
        <v>966</v>
      </c>
      <c r="F39" s="221" t="s">
        <v>495</v>
      </c>
      <c r="G39" s="107" t="s">
        <v>967</v>
      </c>
      <c r="H39" s="107" t="s">
        <v>968</v>
      </c>
      <c r="I39" s="136" t="s">
        <v>961</v>
      </c>
      <c r="J39" s="221" t="s">
        <v>782</v>
      </c>
      <c r="K39" s="107" t="s">
        <v>940</v>
      </c>
      <c r="L39" s="107" t="s">
        <v>970</v>
      </c>
      <c r="M39" s="107" t="s">
        <v>988</v>
      </c>
      <c r="N39" s="107" t="s">
        <v>971</v>
      </c>
    </row>
    <row r="40" spans="1:14" ht="39.6">
      <c r="A40" s="126"/>
      <c r="B40" s="107" t="s">
        <v>969</v>
      </c>
      <c r="C40" s="107" t="s">
        <v>359</v>
      </c>
      <c r="D40" s="126"/>
      <c r="E40" s="126"/>
      <c r="F40" s="251"/>
      <c r="G40" s="107" t="s">
        <v>972</v>
      </c>
      <c r="H40" s="107" t="s">
        <v>880</v>
      </c>
      <c r="I40" s="136" t="s">
        <v>955</v>
      </c>
      <c r="J40" s="221" t="s">
        <v>782</v>
      </c>
      <c r="K40" s="107" t="s">
        <v>940</v>
      </c>
      <c r="L40" s="107" t="s">
        <v>973</v>
      </c>
      <c r="M40" s="107" t="s">
        <v>988</v>
      </c>
      <c r="N40" s="107" t="s">
        <v>889</v>
      </c>
    </row>
    <row r="41" spans="1:14" ht="66">
      <c r="A41" s="136" t="s">
        <v>974</v>
      </c>
      <c r="B41" s="107" t="s">
        <v>9</v>
      </c>
      <c r="C41" s="107" t="s">
        <v>271</v>
      </c>
      <c r="D41" s="107" t="s">
        <v>975</v>
      </c>
      <c r="E41" s="107" t="s">
        <v>976</v>
      </c>
      <c r="F41" s="221" t="s">
        <v>977</v>
      </c>
      <c r="G41" s="107" t="s">
        <v>978</v>
      </c>
      <c r="H41" s="107" t="s">
        <v>979</v>
      </c>
      <c r="I41" s="136" t="s">
        <v>963</v>
      </c>
      <c r="J41" s="221" t="s">
        <v>782</v>
      </c>
      <c r="K41" s="107" t="s">
        <v>940</v>
      </c>
      <c r="L41" s="107" t="s">
        <v>980</v>
      </c>
      <c r="M41" s="107" t="s">
        <v>990</v>
      </c>
      <c r="N41" s="107" t="s">
        <v>981</v>
      </c>
    </row>
    <row r="42" spans="1:14" ht="52.8">
      <c r="A42" s="126"/>
      <c r="B42" s="107" t="s">
        <v>9</v>
      </c>
      <c r="C42" s="107" t="s">
        <v>271</v>
      </c>
      <c r="D42" s="126"/>
      <c r="E42" s="126"/>
      <c r="F42" s="251"/>
      <c r="G42" s="107" t="s">
        <v>982</v>
      </c>
      <c r="H42" s="107" t="s">
        <v>983</v>
      </c>
      <c r="I42" s="136" t="s">
        <v>984</v>
      </c>
      <c r="J42" s="221" t="s">
        <v>782</v>
      </c>
      <c r="K42" s="107" t="s">
        <v>940</v>
      </c>
      <c r="L42" s="107" t="s">
        <v>985</v>
      </c>
      <c r="M42" s="107" t="s">
        <v>988</v>
      </c>
      <c r="N42" s="107" t="s">
        <v>986</v>
      </c>
    </row>
  </sheetData>
  <autoFilter ref="A18:N42" xr:uid="{EE40CF17-F6ED-4ED1-8965-4D0576125203}"/>
  <mergeCells count="8">
    <mergeCell ref="A16:N16"/>
    <mergeCell ref="A1:F1"/>
    <mergeCell ref="A3:F3"/>
    <mergeCell ref="A5:F5"/>
    <mergeCell ref="A7:F7"/>
    <mergeCell ref="A11:F11"/>
    <mergeCell ref="A13:F13"/>
    <mergeCell ref="A14:F1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3:N14"/>
  <sheetViews>
    <sheetView workbookViewId="0">
      <selection activeCell="C6" sqref="C6:H6"/>
    </sheetView>
  </sheetViews>
  <sheetFormatPr defaultRowHeight="13.2"/>
  <cols>
    <col min="1" max="1" width="12.6640625" customWidth="1"/>
    <col min="2" max="2" width="15.33203125" customWidth="1"/>
    <col min="3" max="3" width="41.6640625" customWidth="1"/>
    <col min="4" max="4" width="79.6640625" customWidth="1"/>
    <col min="5" max="5" width="78.6640625" customWidth="1"/>
    <col min="6" max="6" width="19.33203125" customWidth="1"/>
    <col min="7" max="7" width="16.33203125" customWidth="1"/>
    <col min="8" max="8" width="20.33203125" customWidth="1"/>
    <col min="9" max="9" width="18.33203125" customWidth="1"/>
    <col min="10" max="10" width="15.6640625" customWidth="1"/>
    <col min="11" max="11" width="23.33203125" customWidth="1"/>
    <col min="12" max="12" width="18.33203125" customWidth="1"/>
    <col min="13" max="13" width="12.33203125" customWidth="1"/>
    <col min="14" max="14" width="17.33203125" customWidth="1"/>
  </cols>
  <sheetData>
    <row r="3" spans="1:14" ht="13.8" thickBot="1"/>
    <row r="4" spans="1:14" hidden="1">
      <c r="B4" s="41" t="s">
        <v>71</v>
      </c>
    </row>
    <row r="5" spans="1:14" ht="15.6" thickBot="1">
      <c r="B5" s="50" t="s">
        <v>72</v>
      </c>
      <c r="C5" s="853" t="s">
        <v>73</v>
      </c>
      <c r="D5" s="853"/>
      <c r="E5" s="853"/>
      <c r="F5" s="51"/>
      <c r="G5" s="51"/>
      <c r="H5" s="51"/>
    </row>
    <row r="6" spans="1:14" ht="16.5" customHeight="1">
      <c r="B6" s="51"/>
      <c r="C6" s="854" t="str">
        <f>IF(COUNTA(qryData_Controls[Risk ref])&lt;1,"No additional controls added to the controls table","")</f>
        <v/>
      </c>
      <c r="D6" s="854"/>
      <c r="E6" s="854"/>
      <c r="F6" s="854"/>
      <c r="G6" s="854"/>
      <c r="H6" s="854"/>
    </row>
    <row r="10" spans="1:14" ht="26.4">
      <c r="A10" t="s">
        <v>74</v>
      </c>
      <c r="B10" t="s">
        <v>8</v>
      </c>
      <c r="C10" t="s">
        <v>11</v>
      </c>
      <c r="D10" t="s">
        <v>75</v>
      </c>
      <c r="E10" t="s">
        <v>16</v>
      </c>
      <c r="F10" t="s">
        <v>17</v>
      </c>
      <c r="G10" t="s">
        <v>76</v>
      </c>
      <c r="H10" t="s">
        <v>77</v>
      </c>
      <c r="I10" t="s">
        <v>18</v>
      </c>
      <c r="J10" t="s">
        <v>19</v>
      </c>
      <c r="K10" t="s">
        <v>78</v>
      </c>
      <c r="L10" t="s">
        <v>21</v>
      </c>
      <c r="M10" t="s">
        <v>22</v>
      </c>
      <c r="N10" t="s">
        <v>79</v>
      </c>
    </row>
    <row r="11" spans="1:14" ht="39.6">
      <c r="A11" t="s">
        <v>80</v>
      </c>
      <c r="B11" t="s">
        <v>81</v>
      </c>
      <c r="C11" t="s">
        <v>82</v>
      </c>
      <c r="D11" t="s">
        <v>83</v>
      </c>
      <c r="E11" t="s">
        <v>84</v>
      </c>
      <c r="F11" t="s">
        <v>54</v>
      </c>
      <c r="G11">
        <v>4</v>
      </c>
      <c r="H11">
        <v>2</v>
      </c>
      <c r="I11" t="s">
        <v>70</v>
      </c>
      <c r="J11" t="s">
        <v>50</v>
      </c>
      <c r="N11" t="s">
        <v>81</v>
      </c>
    </row>
    <row r="12" spans="1:14" ht="39.6">
      <c r="A12" t="s">
        <v>85</v>
      </c>
      <c r="B12" t="s">
        <v>81</v>
      </c>
      <c r="C12" t="s">
        <v>82</v>
      </c>
      <c r="D12" t="s">
        <v>83</v>
      </c>
      <c r="E12" t="s">
        <v>86</v>
      </c>
      <c r="F12" t="s">
        <v>26</v>
      </c>
      <c r="G12">
        <v>4</v>
      </c>
      <c r="H12">
        <v>2</v>
      </c>
      <c r="I12" t="s">
        <v>70</v>
      </c>
      <c r="J12" t="s">
        <v>50</v>
      </c>
      <c r="N12" t="s">
        <v>81</v>
      </c>
    </row>
    <row r="13" spans="1:14" ht="39.6">
      <c r="A13" t="s">
        <v>87</v>
      </c>
      <c r="B13" t="s">
        <v>81</v>
      </c>
      <c r="C13" t="s">
        <v>82</v>
      </c>
      <c r="D13" t="s">
        <v>83</v>
      </c>
      <c r="E13" t="s">
        <v>88</v>
      </c>
      <c r="F13" t="s">
        <v>61</v>
      </c>
      <c r="G13">
        <v>4</v>
      </c>
      <c r="H13">
        <v>2</v>
      </c>
      <c r="I13" t="s">
        <v>70</v>
      </c>
      <c r="J13" t="s">
        <v>50</v>
      </c>
      <c r="N13" t="s">
        <v>81</v>
      </c>
    </row>
    <row r="14" spans="1:14" ht="39.6">
      <c r="A14" t="s">
        <v>89</v>
      </c>
      <c r="B14" t="s">
        <v>81</v>
      </c>
      <c r="C14" t="s">
        <v>82</v>
      </c>
      <c r="D14" t="s">
        <v>83</v>
      </c>
      <c r="E14" t="s">
        <v>90</v>
      </c>
      <c r="F14" t="s">
        <v>26</v>
      </c>
      <c r="G14">
        <v>4</v>
      </c>
      <c r="H14">
        <v>2</v>
      </c>
      <c r="I14" t="s">
        <v>70</v>
      </c>
      <c r="J14" t="s">
        <v>50</v>
      </c>
      <c r="N14" t="s">
        <v>81</v>
      </c>
    </row>
  </sheetData>
  <mergeCells count="2">
    <mergeCell ref="C5:E5"/>
    <mergeCell ref="C6:H6"/>
  </mergeCells>
  <dataValidations count="1">
    <dataValidation type="list" allowBlank="1" showInputMessage="1" showErrorMessage="1" promptTitle="Data Update" prompt="Please left click and refresh table if required" sqref="B5" xr:uid="{00000000-0002-0000-0100-000000000000}">
      <formula1>rngRisk_Refs</formula1>
    </dataValidation>
  </dataValidations>
  <pageMargins left="0.7" right="0.7" top="0.75" bottom="0.75" header="0.3" footer="0.3"/>
  <pageSetup paperSize="9"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72EAA-7DA2-4946-A2BE-D83884F51CF5}">
  <sheetPr codeName="Sheet10"/>
  <dimension ref="A1:J84"/>
  <sheetViews>
    <sheetView topLeftCell="A57" workbookViewId="0">
      <selection activeCell="A5" sqref="A5"/>
    </sheetView>
  </sheetViews>
  <sheetFormatPr defaultRowHeight="13.2"/>
  <cols>
    <col min="1" max="1" width="84.6640625" customWidth="1"/>
    <col min="2" max="2" width="4.33203125" customWidth="1"/>
    <col min="3" max="3" width="4.109375" customWidth="1"/>
    <col min="4" max="4" width="18.109375" customWidth="1"/>
    <col min="5" max="5" width="20.88671875" customWidth="1"/>
    <col min="6" max="6" width="23.6640625" customWidth="1"/>
    <col min="7" max="7" width="28.6640625" customWidth="1"/>
    <col min="8" max="8" width="23.88671875" customWidth="1"/>
    <col min="9" max="9" width="19.109375" customWidth="1"/>
    <col min="10" max="10" width="14.88671875" customWidth="1"/>
  </cols>
  <sheetData>
    <row r="1" spans="1:10" ht="44.25" customHeight="1">
      <c r="A1" s="218" t="s">
        <v>394</v>
      </c>
      <c r="D1" s="857" t="s">
        <v>436</v>
      </c>
      <c r="E1" s="857"/>
      <c r="F1" s="857"/>
      <c r="G1" s="857"/>
    </row>
    <row r="2" spans="1:10" ht="20.399999999999999">
      <c r="A2" s="217"/>
      <c r="D2" s="134"/>
    </row>
    <row r="3" spans="1:10" ht="21">
      <c r="A3" s="218" t="s">
        <v>395</v>
      </c>
      <c r="D3" s="135" t="s">
        <v>437</v>
      </c>
      <c r="E3" s="135" t="s">
        <v>438</v>
      </c>
      <c r="F3" s="135" t="s">
        <v>439</v>
      </c>
      <c r="G3" s="135" t="s">
        <v>440</v>
      </c>
    </row>
    <row r="4" spans="1:10" ht="26.4">
      <c r="A4" s="224"/>
      <c r="D4" s="136" t="s">
        <v>36</v>
      </c>
      <c r="E4" s="107" t="s">
        <v>441</v>
      </c>
      <c r="F4" s="107" t="s">
        <v>442</v>
      </c>
      <c r="G4" s="107" t="s">
        <v>443</v>
      </c>
    </row>
    <row r="5" spans="1:10" ht="26.4">
      <c r="A5" s="218" t="s">
        <v>396</v>
      </c>
      <c r="D5" s="136" t="s">
        <v>24</v>
      </c>
      <c r="E5" s="107" t="s">
        <v>444</v>
      </c>
      <c r="F5" s="107" t="s">
        <v>445</v>
      </c>
      <c r="G5" s="107" t="s">
        <v>446</v>
      </c>
    </row>
    <row r="6" spans="1:10" ht="26.4">
      <c r="D6" s="136" t="s">
        <v>32</v>
      </c>
      <c r="E6" s="107" t="s">
        <v>444</v>
      </c>
      <c r="F6" s="107" t="s">
        <v>447</v>
      </c>
      <c r="G6" s="107" t="s">
        <v>448</v>
      </c>
    </row>
    <row r="7" spans="1:10" ht="39.75" customHeight="1">
      <c r="A7" s="131" t="s">
        <v>397</v>
      </c>
      <c r="D7" s="136" t="s">
        <v>9</v>
      </c>
      <c r="E7" s="107" t="s">
        <v>449</v>
      </c>
      <c r="F7" s="107" t="s">
        <v>450</v>
      </c>
      <c r="G7" s="107" t="s">
        <v>451</v>
      </c>
    </row>
    <row r="8" spans="1:10" ht="25.05" customHeight="1">
      <c r="D8" s="136" t="s">
        <v>40</v>
      </c>
      <c r="E8" s="107" t="s">
        <v>449</v>
      </c>
      <c r="F8" s="107" t="s">
        <v>452</v>
      </c>
      <c r="G8" s="107" t="s">
        <v>451</v>
      </c>
    </row>
    <row r="9" spans="1:10" ht="41.55" customHeight="1">
      <c r="A9" t="s">
        <v>398</v>
      </c>
    </row>
    <row r="11" spans="1:10" ht="17.399999999999999">
      <c r="A11" s="131" t="s">
        <v>399</v>
      </c>
    </row>
    <row r="12" spans="1:10" ht="37.200000000000003">
      <c r="D12" s="856"/>
      <c r="E12" s="856"/>
      <c r="F12" s="856"/>
      <c r="G12" s="856"/>
      <c r="H12" s="856"/>
      <c r="I12" s="856"/>
      <c r="J12" s="856"/>
    </row>
    <row r="13" spans="1:10">
      <c r="A13" s="159" t="s">
        <v>36</v>
      </c>
      <c r="D13" s="142"/>
    </row>
    <row r="14" spans="1:10" ht="27">
      <c r="A14" s="132"/>
      <c r="D14" s="861"/>
      <c r="E14" s="861"/>
      <c r="F14" s="861"/>
      <c r="G14" s="861"/>
      <c r="H14" s="861"/>
      <c r="I14" s="861"/>
      <c r="J14" s="861"/>
    </row>
    <row r="15" spans="1:10" ht="23.25" customHeight="1">
      <c r="A15" s="132" t="s">
        <v>400</v>
      </c>
      <c r="D15" s="143"/>
      <c r="E15" s="143"/>
      <c r="F15" s="143"/>
      <c r="G15" s="143"/>
      <c r="H15" s="143"/>
      <c r="I15" s="143"/>
      <c r="J15" s="143"/>
    </row>
    <row r="16" spans="1:10" ht="29.55" customHeight="1">
      <c r="A16" s="153" t="s">
        <v>401</v>
      </c>
      <c r="D16" s="144"/>
      <c r="E16" s="855"/>
      <c r="F16" s="858"/>
      <c r="G16" s="859"/>
      <c r="H16" s="146"/>
      <c r="I16" s="860"/>
      <c r="J16" s="855"/>
    </row>
    <row r="17" spans="1:10" ht="18.75" customHeight="1">
      <c r="A17" s="132" t="s">
        <v>402</v>
      </c>
      <c r="D17" s="145"/>
      <c r="E17" s="855"/>
      <c r="F17" s="858"/>
      <c r="G17" s="859"/>
      <c r="H17" s="146"/>
      <c r="I17" s="860"/>
      <c r="J17" s="855"/>
    </row>
    <row r="18" spans="1:10" ht="8.5500000000000007" customHeight="1">
      <c r="D18" s="145"/>
      <c r="E18" s="855"/>
      <c r="F18" s="858"/>
      <c r="G18" s="859"/>
      <c r="H18" s="146"/>
      <c r="I18" s="860"/>
      <c r="J18" s="855"/>
    </row>
    <row r="19" spans="1:10">
      <c r="A19" s="159" t="s">
        <v>24</v>
      </c>
      <c r="D19" s="144"/>
      <c r="E19" s="855"/>
      <c r="F19" s="858"/>
      <c r="G19" s="862"/>
      <c r="H19" s="146"/>
      <c r="I19" s="863"/>
      <c r="J19" s="855"/>
    </row>
    <row r="20" spans="1:10" ht="15">
      <c r="A20" s="132"/>
      <c r="D20" s="145"/>
      <c r="E20" s="855"/>
      <c r="F20" s="858"/>
      <c r="G20" s="862"/>
      <c r="H20" s="146"/>
      <c r="I20" s="863"/>
      <c r="J20" s="855"/>
    </row>
    <row r="21" spans="1:10" ht="15">
      <c r="A21" s="132" t="s">
        <v>403</v>
      </c>
      <c r="D21" s="145"/>
      <c r="E21" s="855"/>
      <c r="F21" s="858"/>
      <c r="G21" s="862"/>
      <c r="H21" s="146"/>
      <c r="I21" s="863"/>
      <c r="J21" s="855"/>
    </row>
    <row r="22" spans="1:10" ht="27" customHeight="1">
      <c r="A22" s="132" t="s">
        <v>404</v>
      </c>
      <c r="D22" s="144"/>
      <c r="E22" s="855"/>
      <c r="F22" s="858"/>
      <c r="G22" s="862"/>
      <c r="H22" s="146"/>
      <c r="I22" s="860"/>
      <c r="J22" s="855"/>
    </row>
    <row r="23" spans="1:10" ht="15">
      <c r="A23" s="132" t="s">
        <v>405</v>
      </c>
      <c r="D23" s="145"/>
      <c r="E23" s="855"/>
      <c r="F23" s="858"/>
      <c r="G23" s="862"/>
      <c r="H23" s="146"/>
      <c r="I23" s="860"/>
      <c r="J23" s="855"/>
    </row>
    <row r="24" spans="1:10" ht="15">
      <c r="D24" s="145"/>
      <c r="E24" s="855"/>
      <c r="F24" s="858"/>
      <c r="G24" s="862"/>
      <c r="H24" s="146"/>
      <c r="I24" s="860"/>
      <c r="J24" s="855"/>
    </row>
    <row r="25" spans="1:10">
      <c r="A25" s="159" t="s">
        <v>32</v>
      </c>
      <c r="D25" s="144"/>
      <c r="E25" s="855"/>
      <c r="F25" s="858"/>
      <c r="G25" s="864"/>
      <c r="H25" s="146"/>
      <c r="I25" s="863"/>
      <c r="J25" s="855"/>
    </row>
    <row r="26" spans="1:10" ht="15">
      <c r="A26" s="132"/>
      <c r="D26" s="145"/>
      <c r="E26" s="855"/>
      <c r="F26" s="858"/>
      <c r="G26" s="864"/>
      <c r="H26" s="146"/>
      <c r="I26" s="863"/>
      <c r="J26" s="855"/>
    </row>
    <row r="27" spans="1:10" ht="15">
      <c r="A27" s="132" t="s">
        <v>406</v>
      </c>
      <c r="D27" s="145"/>
      <c r="E27" s="855"/>
      <c r="F27" s="858"/>
      <c r="G27" s="864"/>
      <c r="H27" s="146"/>
      <c r="I27" s="863"/>
      <c r="J27" s="855"/>
    </row>
    <row r="28" spans="1:10" ht="22.05" customHeight="1">
      <c r="A28" s="132" t="s">
        <v>407</v>
      </c>
      <c r="D28" s="144"/>
      <c r="E28" s="855"/>
      <c r="F28" s="858"/>
      <c r="G28" s="862"/>
      <c r="H28" s="146"/>
      <c r="I28" s="863"/>
      <c r="J28" s="855"/>
    </row>
    <row r="29" spans="1:10" ht="15">
      <c r="A29" s="132" t="s">
        <v>408</v>
      </c>
      <c r="D29" s="145"/>
      <c r="E29" s="855"/>
      <c r="F29" s="858"/>
      <c r="G29" s="862"/>
      <c r="H29" s="146"/>
      <c r="I29" s="863"/>
      <c r="J29" s="855"/>
    </row>
    <row r="30" spans="1:10" ht="15">
      <c r="D30" s="145"/>
      <c r="E30" s="855"/>
      <c r="F30" s="858"/>
      <c r="G30" s="862"/>
      <c r="H30" s="146"/>
      <c r="I30" s="863"/>
      <c r="J30" s="855"/>
    </row>
    <row r="31" spans="1:10">
      <c r="A31" s="159" t="s">
        <v>9</v>
      </c>
      <c r="D31" s="144"/>
      <c r="E31" s="855"/>
      <c r="F31" s="858"/>
      <c r="G31" s="862"/>
      <c r="H31" s="146"/>
      <c r="I31" s="863"/>
      <c r="J31" s="855"/>
    </row>
    <row r="32" spans="1:10" ht="15">
      <c r="A32" s="132"/>
      <c r="D32" s="145"/>
      <c r="E32" s="855"/>
      <c r="F32" s="858"/>
      <c r="G32" s="862"/>
      <c r="H32" s="146"/>
      <c r="I32" s="863"/>
      <c r="J32" s="855"/>
    </row>
    <row r="33" spans="1:10" ht="15">
      <c r="A33" s="132" t="s">
        <v>409</v>
      </c>
      <c r="D33" s="145"/>
      <c r="E33" s="855"/>
      <c r="F33" s="858"/>
      <c r="G33" s="862"/>
      <c r="H33" s="146"/>
      <c r="I33" s="863"/>
      <c r="J33" s="855"/>
    </row>
    <row r="34" spans="1:10" ht="19.5" customHeight="1">
      <c r="A34" s="132" t="s">
        <v>410</v>
      </c>
      <c r="D34" s="144"/>
      <c r="E34" s="855"/>
      <c r="F34" s="858"/>
      <c r="G34" s="862"/>
      <c r="H34" s="146"/>
      <c r="I34" s="865"/>
      <c r="J34" s="855"/>
    </row>
    <row r="35" spans="1:10" ht="15">
      <c r="A35" s="132" t="s">
        <v>411</v>
      </c>
      <c r="D35" s="145"/>
      <c r="E35" s="855"/>
      <c r="F35" s="858"/>
      <c r="G35" s="862"/>
      <c r="H35" s="146"/>
      <c r="I35" s="865"/>
      <c r="J35" s="855"/>
    </row>
    <row r="36" spans="1:10" ht="15">
      <c r="D36" s="145"/>
      <c r="E36" s="855"/>
      <c r="F36" s="858"/>
      <c r="G36" s="862"/>
      <c r="H36" s="146"/>
      <c r="I36" s="865"/>
      <c r="J36" s="855"/>
    </row>
    <row r="37" spans="1:10">
      <c r="A37" s="159" t="s">
        <v>40</v>
      </c>
      <c r="D37" s="144"/>
      <c r="E37" s="855"/>
      <c r="F37" s="858"/>
      <c r="G37" s="864"/>
      <c r="H37" s="146"/>
      <c r="I37" s="860"/>
      <c r="J37" s="855"/>
    </row>
    <row r="38" spans="1:10" ht="15">
      <c r="A38" s="132"/>
      <c r="D38" s="145"/>
      <c r="E38" s="855"/>
      <c r="F38" s="858"/>
      <c r="G38" s="864"/>
      <c r="H38" s="146"/>
      <c r="I38" s="860"/>
      <c r="J38" s="855"/>
    </row>
    <row r="39" spans="1:10" ht="15">
      <c r="A39" s="132" t="s">
        <v>412</v>
      </c>
      <c r="D39" s="145"/>
      <c r="E39" s="855"/>
      <c r="F39" s="858"/>
      <c r="G39" s="864"/>
      <c r="H39" s="146"/>
      <c r="I39" s="860"/>
      <c r="J39" s="855"/>
    </row>
    <row r="40" spans="1:10">
      <c r="A40" s="132" t="s">
        <v>413</v>
      </c>
      <c r="D40" s="144"/>
      <c r="E40" s="855"/>
      <c r="F40" s="858"/>
      <c r="G40" s="862"/>
      <c r="H40" s="146"/>
      <c r="I40" s="860"/>
      <c r="J40" s="855"/>
    </row>
    <row r="41" spans="1:10" ht="15">
      <c r="A41" s="132" t="s">
        <v>414</v>
      </c>
      <c r="D41" s="145"/>
      <c r="E41" s="855"/>
      <c r="F41" s="858"/>
      <c r="G41" s="862"/>
      <c r="H41" s="146"/>
      <c r="I41" s="860"/>
      <c r="J41" s="855"/>
    </row>
    <row r="42" spans="1:10" ht="15">
      <c r="D42" s="145"/>
      <c r="E42" s="855"/>
      <c r="F42" s="858"/>
      <c r="G42" s="862"/>
      <c r="H42" s="146"/>
      <c r="I42" s="860"/>
      <c r="J42" s="855"/>
    </row>
    <row r="43" spans="1:10" ht="45.6">
      <c r="A43" s="130" t="s">
        <v>415</v>
      </c>
      <c r="D43" s="144"/>
      <c r="E43" s="855"/>
      <c r="F43" s="858"/>
      <c r="G43" s="862"/>
      <c r="H43" s="146"/>
      <c r="I43" s="860"/>
      <c r="J43" s="855"/>
    </row>
    <row r="44" spans="1:10" ht="15">
      <c r="A44" s="132"/>
      <c r="D44" s="145"/>
      <c r="E44" s="855"/>
      <c r="F44" s="858"/>
      <c r="G44" s="862"/>
      <c r="H44" s="146"/>
      <c r="I44" s="860"/>
      <c r="J44" s="855"/>
    </row>
    <row r="45" spans="1:10" ht="26.4">
      <c r="A45" s="133" t="s">
        <v>416</v>
      </c>
      <c r="D45" s="145"/>
      <c r="E45" s="855"/>
      <c r="F45" s="858"/>
      <c r="G45" s="862"/>
      <c r="H45" s="146"/>
      <c r="I45" s="860"/>
      <c r="J45" s="855"/>
    </row>
    <row r="46" spans="1:10" ht="26.4">
      <c r="A46" s="133" t="s">
        <v>417</v>
      </c>
      <c r="D46" s="142"/>
    </row>
    <row r="47" spans="1:10" ht="27">
      <c r="A47" s="133" t="s">
        <v>418</v>
      </c>
      <c r="D47" s="861"/>
      <c r="E47" s="861"/>
      <c r="F47" s="861"/>
      <c r="G47" s="861"/>
      <c r="H47" s="861"/>
      <c r="I47" s="861"/>
      <c r="J47" s="861"/>
    </row>
    <row r="48" spans="1:10" ht="26.4">
      <c r="A48" s="133" t="s">
        <v>419</v>
      </c>
      <c r="D48" s="143"/>
      <c r="E48" s="143"/>
      <c r="F48" s="143"/>
      <c r="G48" s="143"/>
      <c r="H48" s="143"/>
      <c r="I48" s="143"/>
    </row>
    <row r="49" spans="1:9" ht="26.4">
      <c r="A49" s="133" t="s">
        <v>420</v>
      </c>
      <c r="D49" s="150"/>
      <c r="E49" s="145"/>
      <c r="F49" s="151"/>
      <c r="G49" s="152"/>
      <c r="H49" s="147"/>
      <c r="I49" s="145"/>
    </row>
    <row r="50" spans="1:9" ht="15">
      <c r="D50" s="150"/>
      <c r="E50" s="145"/>
      <c r="F50" s="151"/>
      <c r="G50" s="152"/>
      <c r="H50" s="148"/>
      <c r="I50" s="145"/>
    </row>
    <row r="51" spans="1:9" ht="22.8">
      <c r="A51" s="130" t="s">
        <v>421</v>
      </c>
      <c r="D51" s="150"/>
      <c r="E51" s="145"/>
      <c r="F51" s="151"/>
      <c r="G51" s="152"/>
      <c r="H51" s="149"/>
      <c r="I51" s="145"/>
    </row>
    <row r="52" spans="1:9" ht="15">
      <c r="D52" s="150"/>
      <c r="E52" s="145"/>
      <c r="F52" s="151"/>
      <c r="G52" s="152"/>
      <c r="H52" s="147"/>
      <c r="I52" s="145"/>
    </row>
    <row r="53" spans="1:9" ht="17.399999999999999">
      <c r="A53" s="166" t="s">
        <v>422</v>
      </c>
      <c r="D53" s="150"/>
      <c r="E53" s="145"/>
      <c r="F53" s="151"/>
      <c r="G53" s="152"/>
      <c r="H53" s="148"/>
      <c r="I53" s="145"/>
    </row>
    <row r="54" spans="1:9">
      <c r="A54" s="132"/>
      <c r="D54" s="142"/>
    </row>
    <row r="55" spans="1:9" ht="27">
      <c r="A55" s="133" t="s">
        <v>423</v>
      </c>
      <c r="D55" s="861"/>
      <c r="E55" s="861"/>
      <c r="F55" s="861"/>
      <c r="G55" s="861"/>
    </row>
    <row r="56" spans="1:9" ht="13.8">
      <c r="A56" s="133" t="s">
        <v>424</v>
      </c>
      <c r="D56" s="143"/>
      <c r="E56" s="143"/>
      <c r="F56" s="143"/>
      <c r="G56" s="143"/>
    </row>
    <row r="57" spans="1:9" ht="15">
      <c r="D57" s="149"/>
      <c r="E57" s="145"/>
      <c r="F57" s="145"/>
      <c r="G57" s="145"/>
    </row>
    <row r="58" spans="1:9" ht="17.399999999999999">
      <c r="A58" s="166" t="s">
        <v>425</v>
      </c>
      <c r="D58" s="147"/>
      <c r="E58" s="145"/>
      <c r="F58" s="145"/>
      <c r="G58" s="145"/>
    </row>
    <row r="59" spans="1:9" ht="15">
      <c r="A59" s="132"/>
      <c r="D59" s="148"/>
      <c r="E59" s="145"/>
      <c r="F59" s="145"/>
      <c r="G59" s="145"/>
    </row>
    <row r="60" spans="1:9">
      <c r="A60" s="133" t="s">
        <v>426</v>
      </c>
    </row>
    <row r="61" spans="1:9">
      <c r="A61" s="133" t="s">
        <v>427</v>
      </c>
    </row>
    <row r="63" spans="1:9" ht="17.399999999999999">
      <c r="A63" s="166" t="s">
        <v>428</v>
      </c>
    </row>
    <row r="64" spans="1:9">
      <c r="A64" s="132"/>
    </row>
    <row r="65" spans="1:1">
      <c r="A65" s="133" t="s">
        <v>429</v>
      </c>
    </row>
    <row r="66" spans="1:1">
      <c r="A66" s="133" t="s">
        <v>430</v>
      </c>
    </row>
    <row r="68" spans="1:1" ht="17.399999999999999">
      <c r="A68" s="166" t="s">
        <v>431</v>
      </c>
    </row>
    <row r="69" spans="1:1">
      <c r="A69" s="132"/>
    </row>
    <row r="70" spans="1:1">
      <c r="A70" s="133" t="s">
        <v>432</v>
      </c>
    </row>
    <row r="71" spans="1:1">
      <c r="A71" s="157" t="s">
        <v>433</v>
      </c>
    </row>
    <row r="72" spans="1:1" ht="26.4">
      <c r="A72" s="158" t="s">
        <v>687</v>
      </c>
    </row>
    <row r="73" spans="1:1" ht="26.4">
      <c r="A73" s="158" t="s">
        <v>688</v>
      </c>
    </row>
    <row r="74" spans="1:1" ht="26.4">
      <c r="A74" s="158" t="s">
        <v>689</v>
      </c>
    </row>
    <row r="75" spans="1:1" ht="26.4">
      <c r="A75" s="158" t="s">
        <v>690</v>
      </c>
    </row>
    <row r="76" spans="1:1" ht="26.4">
      <c r="A76" s="158" t="s">
        <v>691</v>
      </c>
    </row>
    <row r="77" spans="1:1" ht="26.4">
      <c r="A77" s="158" t="s">
        <v>692</v>
      </c>
    </row>
    <row r="78" spans="1:1" ht="26.4">
      <c r="A78" s="158" t="s">
        <v>693</v>
      </c>
    </row>
    <row r="79" spans="1:1" ht="31.5" customHeight="1">
      <c r="A79" s="158" t="s">
        <v>694</v>
      </c>
    </row>
    <row r="80" spans="1:1" ht="34.5" customHeight="1">
      <c r="A80" s="158" t="s">
        <v>695</v>
      </c>
    </row>
    <row r="81" spans="1:1" ht="40.5" customHeight="1">
      <c r="A81" s="158" t="s">
        <v>696</v>
      </c>
    </row>
    <row r="82" spans="1:1" ht="38.549999999999997" customHeight="1">
      <c r="A82" s="158" t="s">
        <v>697</v>
      </c>
    </row>
    <row r="83" spans="1:1" ht="22.05" customHeight="1">
      <c r="A83" s="157" t="s">
        <v>434</v>
      </c>
    </row>
    <row r="84" spans="1:1" ht="22.05" customHeight="1">
      <c r="A84" s="133" t="s">
        <v>435</v>
      </c>
    </row>
  </sheetData>
  <mergeCells count="55">
    <mergeCell ref="D47:J47"/>
    <mergeCell ref="D55:G55"/>
    <mergeCell ref="E43:E45"/>
    <mergeCell ref="F43:F45"/>
    <mergeCell ref="G43:G45"/>
    <mergeCell ref="I43:I45"/>
    <mergeCell ref="J43:J45"/>
    <mergeCell ref="E34:E36"/>
    <mergeCell ref="F34:F36"/>
    <mergeCell ref="G34:G36"/>
    <mergeCell ref="I34:I36"/>
    <mergeCell ref="J34:J36"/>
    <mergeCell ref="E31:E33"/>
    <mergeCell ref="F31:F33"/>
    <mergeCell ref="G31:G33"/>
    <mergeCell ref="I31:I33"/>
    <mergeCell ref="J31:J33"/>
    <mergeCell ref="E37:E39"/>
    <mergeCell ref="F37:F39"/>
    <mergeCell ref="G37:G39"/>
    <mergeCell ref="I37:I39"/>
    <mergeCell ref="J37:J39"/>
    <mergeCell ref="E40:E42"/>
    <mergeCell ref="F40:F42"/>
    <mergeCell ref="G40:G42"/>
    <mergeCell ref="I40:I42"/>
    <mergeCell ref="J40:J42"/>
    <mergeCell ref="E25:E27"/>
    <mergeCell ref="F25:F27"/>
    <mergeCell ref="G25:G27"/>
    <mergeCell ref="I25:I27"/>
    <mergeCell ref="J25:J27"/>
    <mergeCell ref="E28:E30"/>
    <mergeCell ref="F28:F30"/>
    <mergeCell ref="G28:G30"/>
    <mergeCell ref="I28:I30"/>
    <mergeCell ref="J28:J30"/>
    <mergeCell ref="E19:E21"/>
    <mergeCell ref="F19:F21"/>
    <mergeCell ref="G19:G21"/>
    <mergeCell ref="I19:I21"/>
    <mergeCell ref="J19:J21"/>
    <mergeCell ref="E22:E24"/>
    <mergeCell ref="F22:F24"/>
    <mergeCell ref="G22:G24"/>
    <mergeCell ref="I22:I24"/>
    <mergeCell ref="J22:J24"/>
    <mergeCell ref="J16:J18"/>
    <mergeCell ref="D12:J12"/>
    <mergeCell ref="D1:G1"/>
    <mergeCell ref="E16:E18"/>
    <mergeCell ref="F16:F18"/>
    <mergeCell ref="G16:G18"/>
    <mergeCell ref="I16:I18"/>
    <mergeCell ref="D14:J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5FC09-5B66-429E-A324-042F5ADF7C23}">
  <sheetPr codeName="Sheet11"/>
  <dimension ref="A1:K22"/>
  <sheetViews>
    <sheetView topLeftCell="A12" workbookViewId="0">
      <selection sqref="A1:K22"/>
    </sheetView>
  </sheetViews>
  <sheetFormatPr defaultRowHeight="13.2"/>
  <cols>
    <col min="1" max="1" width="32.109375" customWidth="1"/>
    <col min="2" max="2" width="47.88671875" customWidth="1"/>
    <col min="3" max="3" width="44.6640625" customWidth="1"/>
    <col min="4" max="4" width="16.6640625" customWidth="1"/>
    <col min="5" max="6" width="16.88671875" customWidth="1"/>
    <col min="7" max="8" width="17.33203125" customWidth="1"/>
    <col min="9" max="9" width="14.109375" customWidth="1"/>
    <col min="10" max="10" width="14.6640625" customWidth="1"/>
    <col min="11" max="11" width="18.88671875" customWidth="1"/>
  </cols>
  <sheetData>
    <row r="1" spans="1:11" ht="22.8">
      <c r="A1" s="857" t="s">
        <v>453</v>
      </c>
      <c r="B1" s="857"/>
      <c r="C1" s="857"/>
      <c r="D1" s="857"/>
      <c r="E1" s="857"/>
      <c r="F1" s="857"/>
      <c r="G1" s="857"/>
      <c r="H1" s="857"/>
      <c r="I1" s="857"/>
      <c r="J1" s="857"/>
      <c r="K1" s="857"/>
    </row>
    <row r="2" spans="1:11">
      <c r="A2" s="134"/>
    </row>
    <row r="3" spans="1:11">
      <c r="A3" s="135" t="s">
        <v>437</v>
      </c>
      <c r="B3" s="135" t="s">
        <v>454</v>
      </c>
      <c r="C3" s="135" t="s">
        <v>455</v>
      </c>
      <c r="D3" s="135" t="s">
        <v>456</v>
      </c>
      <c r="E3" s="135" t="s">
        <v>457</v>
      </c>
      <c r="F3" s="135" t="s">
        <v>458</v>
      </c>
      <c r="G3" s="135" t="s">
        <v>459</v>
      </c>
      <c r="H3" s="135" t="s">
        <v>105</v>
      </c>
      <c r="I3" s="135" t="s">
        <v>460</v>
      </c>
      <c r="J3" s="135" t="s">
        <v>461</v>
      </c>
      <c r="K3" s="135" t="s">
        <v>462</v>
      </c>
    </row>
    <row r="4" spans="1:11" ht="26.4">
      <c r="A4" s="136" t="s">
        <v>36</v>
      </c>
      <c r="B4" s="107" t="s">
        <v>463</v>
      </c>
      <c r="C4" s="107" t="s">
        <v>441</v>
      </c>
      <c r="D4" s="138">
        <v>2.5000000000000001E-2</v>
      </c>
      <c r="E4" s="140" t="s">
        <v>388</v>
      </c>
      <c r="F4" s="140" t="s">
        <v>464</v>
      </c>
      <c r="G4" s="140" t="s">
        <v>465</v>
      </c>
      <c r="H4" s="136" t="s">
        <v>466</v>
      </c>
      <c r="I4" s="107" t="s">
        <v>467</v>
      </c>
      <c r="J4" s="107" t="s">
        <v>43</v>
      </c>
      <c r="K4" s="107" t="s">
        <v>468</v>
      </c>
    </row>
    <row r="5" spans="1:11">
      <c r="A5" s="136" t="s">
        <v>36</v>
      </c>
      <c r="B5" s="107" t="s">
        <v>469</v>
      </c>
      <c r="C5" s="107" t="s">
        <v>441</v>
      </c>
      <c r="D5" s="135" t="s">
        <v>470</v>
      </c>
      <c r="E5" s="140" t="s">
        <v>471</v>
      </c>
      <c r="F5" s="140" t="s">
        <v>472</v>
      </c>
      <c r="G5" s="140" t="s">
        <v>473</v>
      </c>
      <c r="H5" s="136" t="s">
        <v>393</v>
      </c>
      <c r="I5" s="107" t="s">
        <v>467</v>
      </c>
      <c r="J5" s="107" t="s">
        <v>26</v>
      </c>
      <c r="K5" s="107" t="s">
        <v>474</v>
      </c>
    </row>
    <row r="6" spans="1:11" ht="26.4">
      <c r="A6" s="136" t="s">
        <v>24</v>
      </c>
      <c r="B6" s="107" t="s">
        <v>475</v>
      </c>
      <c r="C6" s="107" t="s">
        <v>444</v>
      </c>
      <c r="D6" s="135">
        <v>4</v>
      </c>
      <c r="E6" s="141">
        <v>45717</v>
      </c>
      <c r="F6" s="141">
        <v>45812</v>
      </c>
      <c r="G6" s="140" t="s">
        <v>476</v>
      </c>
      <c r="H6" s="136" t="s">
        <v>466</v>
      </c>
      <c r="I6" s="107" t="s">
        <v>477</v>
      </c>
      <c r="J6" s="107" t="s">
        <v>29</v>
      </c>
      <c r="K6" s="107" t="s">
        <v>478</v>
      </c>
    </row>
    <row r="7" spans="1:11">
      <c r="A7" s="136" t="s">
        <v>24</v>
      </c>
      <c r="B7" s="107" t="s">
        <v>479</v>
      </c>
      <c r="C7" s="107" t="s">
        <v>444</v>
      </c>
      <c r="D7" s="139">
        <v>0.02</v>
      </c>
      <c r="E7" s="140" t="s">
        <v>480</v>
      </c>
      <c r="F7" s="140" t="s">
        <v>481</v>
      </c>
      <c r="G7" s="140" t="s">
        <v>482</v>
      </c>
      <c r="H7" s="136" t="s">
        <v>393</v>
      </c>
      <c r="I7" s="107" t="s">
        <v>467</v>
      </c>
      <c r="J7" s="107" t="s">
        <v>29</v>
      </c>
      <c r="K7" s="107" t="s">
        <v>483</v>
      </c>
    </row>
    <row r="8" spans="1:11" ht="26.4">
      <c r="A8" s="136" t="s">
        <v>32</v>
      </c>
      <c r="B8" s="107" t="s">
        <v>484</v>
      </c>
      <c r="C8" s="107" t="s">
        <v>444</v>
      </c>
      <c r="D8" s="135">
        <v>12</v>
      </c>
      <c r="E8" s="141">
        <v>45809</v>
      </c>
      <c r="F8" s="141">
        <v>45998</v>
      </c>
      <c r="G8" s="140" t="s">
        <v>485</v>
      </c>
      <c r="H8" s="136" t="s">
        <v>393</v>
      </c>
      <c r="I8" s="107" t="s">
        <v>477</v>
      </c>
      <c r="J8" s="107" t="s">
        <v>29</v>
      </c>
      <c r="K8" s="107" t="s">
        <v>486</v>
      </c>
    </row>
    <row r="9" spans="1:11" ht="26.4">
      <c r="A9" s="136" t="s">
        <v>32</v>
      </c>
      <c r="B9" s="107" t="s">
        <v>487</v>
      </c>
      <c r="C9" s="107" t="s">
        <v>444</v>
      </c>
      <c r="D9" s="135" t="s">
        <v>488</v>
      </c>
      <c r="E9" s="140">
        <v>0</v>
      </c>
      <c r="F9" s="140" t="s">
        <v>489</v>
      </c>
      <c r="G9" s="140" t="s">
        <v>490</v>
      </c>
      <c r="H9" s="136" t="s">
        <v>393</v>
      </c>
      <c r="I9" s="107" t="s">
        <v>467</v>
      </c>
      <c r="J9" s="107" t="s">
        <v>29</v>
      </c>
      <c r="K9" s="107" t="s">
        <v>491</v>
      </c>
    </row>
    <row r="10" spans="1:11">
      <c r="A10" s="136" t="s">
        <v>9</v>
      </c>
      <c r="B10" s="107" t="s">
        <v>492</v>
      </c>
      <c r="C10" s="107" t="s">
        <v>449</v>
      </c>
      <c r="D10" s="135">
        <v>3</v>
      </c>
      <c r="E10" s="141">
        <v>45717</v>
      </c>
      <c r="F10" s="141">
        <v>45812</v>
      </c>
      <c r="G10" s="140" t="s">
        <v>476</v>
      </c>
      <c r="H10" s="136" t="s">
        <v>389</v>
      </c>
      <c r="I10" s="107" t="s">
        <v>477</v>
      </c>
      <c r="J10" s="107" t="s">
        <v>43</v>
      </c>
      <c r="K10" s="107" t="s">
        <v>493</v>
      </c>
    </row>
    <row r="11" spans="1:11">
      <c r="A11" s="136" t="s">
        <v>9</v>
      </c>
      <c r="B11" s="107" t="s">
        <v>494</v>
      </c>
      <c r="C11" s="107" t="s">
        <v>449</v>
      </c>
      <c r="D11" s="139">
        <v>0.85</v>
      </c>
      <c r="E11" s="140" t="s">
        <v>495</v>
      </c>
      <c r="F11" s="140" t="s">
        <v>496</v>
      </c>
      <c r="G11" s="140" t="s">
        <v>497</v>
      </c>
      <c r="H11" s="136" t="s">
        <v>466</v>
      </c>
      <c r="I11" s="107" t="s">
        <v>477</v>
      </c>
      <c r="J11" s="107" t="s">
        <v>43</v>
      </c>
      <c r="K11" s="107" t="s">
        <v>498</v>
      </c>
    </row>
    <row r="12" spans="1:11" ht="26.4">
      <c r="A12" s="136" t="s">
        <v>40</v>
      </c>
      <c r="B12" s="107" t="s">
        <v>499</v>
      </c>
      <c r="C12" s="107" t="s">
        <v>449</v>
      </c>
      <c r="D12" s="135">
        <v>4</v>
      </c>
      <c r="E12" s="141">
        <v>45717</v>
      </c>
      <c r="F12" s="141">
        <v>45812</v>
      </c>
      <c r="G12" s="140" t="s">
        <v>476</v>
      </c>
      <c r="H12" s="136" t="s">
        <v>466</v>
      </c>
      <c r="I12" s="107" t="s">
        <v>477</v>
      </c>
      <c r="J12" s="107" t="s">
        <v>41</v>
      </c>
      <c r="K12" s="107" t="s">
        <v>500</v>
      </c>
    </row>
    <row r="13" spans="1:11">
      <c r="A13" s="136" t="s">
        <v>40</v>
      </c>
      <c r="B13" s="107" t="s">
        <v>501</v>
      </c>
      <c r="C13" s="107" t="s">
        <v>449</v>
      </c>
      <c r="D13" s="135" t="s">
        <v>502</v>
      </c>
      <c r="E13" s="140" t="s">
        <v>503</v>
      </c>
      <c r="F13" s="140" t="s">
        <v>504</v>
      </c>
      <c r="G13" s="140" t="s">
        <v>505</v>
      </c>
      <c r="H13" s="136" t="s">
        <v>466</v>
      </c>
      <c r="I13" s="107" t="s">
        <v>477</v>
      </c>
      <c r="J13" s="107" t="s">
        <v>41</v>
      </c>
      <c r="K13" s="107" t="s">
        <v>506</v>
      </c>
    </row>
    <row r="15" spans="1:11" ht="22.8">
      <c r="A15" s="857" t="s">
        <v>507</v>
      </c>
      <c r="B15" s="857"/>
      <c r="C15" s="857"/>
      <c r="D15" s="857"/>
      <c r="E15" s="857"/>
    </row>
    <row r="16" spans="1:11">
      <c r="A16" s="134"/>
    </row>
    <row r="17" spans="1:5">
      <c r="A17" s="135" t="s">
        <v>508</v>
      </c>
      <c r="B17" s="135" t="s">
        <v>509</v>
      </c>
      <c r="C17" s="135" t="s">
        <v>510</v>
      </c>
      <c r="D17" s="135" t="s">
        <v>105</v>
      </c>
      <c r="E17" s="135" t="s">
        <v>511</v>
      </c>
    </row>
    <row r="18" spans="1:5" ht="26.4">
      <c r="A18" s="136" t="s">
        <v>512</v>
      </c>
      <c r="B18" s="107" t="s">
        <v>513</v>
      </c>
      <c r="C18" s="136" t="s">
        <v>514</v>
      </c>
      <c r="D18" s="107" t="s">
        <v>515</v>
      </c>
      <c r="E18" s="107" t="s">
        <v>516</v>
      </c>
    </row>
    <row r="19" spans="1:5" ht="26.4">
      <c r="A19" s="136" t="s">
        <v>517</v>
      </c>
      <c r="B19" s="107" t="s">
        <v>518</v>
      </c>
      <c r="C19" s="136" t="s">
        <v>519</v>
      </c>
      <c r="D19" s="107" t="s">
        <v>520</v>
      </c>
      <c r="E19" s="107" t="s">
        <v>521</v>
      </c>
    </row>
    <row r="20" spans="1:5">
      <c r="A20" s="136" t="s">
        <v>522</v>
      </c>
      <c r="B20" s="107" t="s">
        <v>523</v>
      </c>
      <c r="C20" s="136" t="s">
        <v>524</v>
      </c>
      <c r="D20" s="107" t="s">
        <v>525</v>
      </c>
      <c r="E20" s="107" t="s">
        <v>526</v>
      </c>
    </row>
    <row r="21" spans="1:5" ht="26.4">
      <c r="A21" s="136" t="s">
        <v>527</v>
      </c>
      <c r="B21" s="107" t="s">
        <v>528</v>
      </c>
      <c r="C21" s="136" t="s">
        <v>529</v>
      </c>
      <c r="D21" s="107" t="s">
        <v>530</v>
      </c>
      <c r="E21" s="107" t="s">
        <v>531</v>
      </c>
    </row>
    <row r="22" spans="1:5" ht="26.4">
      <c r="A22" s="136" t="s">
        <v>532</v>
      </c>
      <c r="B22" s="107" t="s">
        <v>533</v>
      </c>
      <c r="C22" s="136" t="s">
        <v>534</v>
      </c>
      <c r="D22" s="107" t="s">
        <v>520</v>
      </c>
      <c r="E22" s="107" t="s">
        <v>535</v>
      </c>
    </row>
  </sheetData>
  <mergeCells count="2">
    <mergeCell ref="A1:K1"/>
    <mergeCell ref="A15:E1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13F93-B08D-40BB-959B-9B9B7F739682}">
  <sheetPr codeName="Sheet13">
    <tabColor rgb="FFFFC000"/>
  </sheetPr>
  <dimension ref="A1:Z33"/>
  <sheetViews>
    <sheetView zoomScale="70" zoomScaleNormal="70" workbookViewId="0">
      <pane ySplit="2" topLeftCell="A3" activePane="bottomLeft" state="frozen"/>
      <selection activeCell="B1" sqref="B1"/>
      <selection pane="bottomLeft" activeCell="AF7" sqref="AF7"/>
    </sheetView>
  </sheetViews>
  <sheetFormatPr defaultColWidth="9.109375" defaultRowHeight="13.2"/>
  <cols>
    <col min="1" max="1" width="27.44140625" style="294" customWidth="1"/>
    <col min="2" max="2" width="12.21875" style="294" customWidth="1"/>
    <col min="3" max="3" width="15.109375" style="294" hidden="1" customWidth="1"/>
    <col min="4" max="4" width="35.88671875" style="294" hidden="1" customWidth="1"/>
    <col min="5" max="5" width="47.33203125" style="294" bestFit="1" customWidth="1"/>
    <col min="6" max="6" width="43.6640625" style="294" bestFit="1" customWidth="1"/>
    <col min="7" max="7" width="79.6640625" style="294" hidden="1" customWidth="1"/>
    <col min="8" max="8" width="34.109375" style="294" hidden="1" customWidth="1"/>
    <col min="9" max="9" width="28.5546875" style="294" customWidth="1"/>
    <col min="10" max="10" width="18.6640625" style="294" hidden="1" customWidth="1"/>
    <col min="11" max="11" width="30.44140625" style="294" hidden="1" customWidth="1"/>
    <col min="12" max="12" width="26.5546875" style="294" hidden="1" customWidth="1"/>
    <col min="13" max="13" width="19.33203125" style="294" hidden="1" customWidth="1"/>
    <col min="14" max="14" width="18.33203125" style="294" hidden="1" customWidth="1"/>
    <col min="15" max="15" width="27.109375" style="294" hidden="1" customWidth="1"/>
    <col min="16" max="16" width="14.6640625" style="298" hidden="1" customWidth="1"/>
    <col min="17" max="17" width="29.88671875" style="294" bestFit="1" customWidth="1"/>
    <col min="18" max="18" width="32.109375" style="294" bestFit="1" customWidth="1"/>
    <col min="19" max="19" width="34.33203125" style="294" bestFit="1" customWidth="1"/>
    <col min="20" max="20" width="34.88671875" style="294" bestFit="1" customWidth="1"/>
    <col min="21" max="21" width="31.109375" style="296" bestFit="1" customWidth="1"/>
    <col min="22" max="22" width="19.6640625" style="297" customWidth="1"/>
    <col min="23" max="23" width="36.44140625" style="294" bestFit="1" customWidth="1"/>
    <col min="24" max="32" width="9.109375" style="294"/>
    <col min="33" max="33" width="30.33203125" style="294" bestFit="1" customWidth="1"/>
    <col min="34" max="16384" width="9.109375" style="294"/>
  </cols>
  <sheetData>
    <row r="1" spans="1:26" ht="68.099999999999994" customHeight="1">
      <c r="C1" s="293"/>
      <c r="D1" s="293"/>
      <c r="E1" s="293"/>
      <c r="F1"/>
      <c r="G1" s="293"/>
      <c r="H1" s="293"/>
      <c r="I1" s="293"/>
      <c r="J1" s="866" t="s">
        <v>1670</v>
      </c>
      <c r="K1" s="866"/>
      <c r="L1" s="866"/>
      <c r="M1" s="866"/>
      <c r="N1" s="866"/>
      <c r="O1" s="293"/>
      <c r="P1" s="295"/>
      <c r="S1" s="866" t="s">
        <v>1203</v>
      </c>
      <c r="T1" s="866"/>
      <c r="U1" s="866"/>
      <c r="W1" s="293"/>
      <c r="X1" s="293"/>
      <c r="Y1" s="293"/>
      <c r="Z1" s="293"/>
    </row>
    <row r="2" spans="1:26" s="525" customFormat="1" ht="47.1" customHeight="1">
      <c r="A2" s="681" t="s">
        <v>2413</v>
      </c>
      <c r="C2" s="523" t="s">
        <v>1193</v>
      </c>
      <c r="D2" s="523" t="s">
        <v>10</v>
      </c>
      <c r="E2" s="590" t="s">
        <v>454</v>
      </c>
      <c r="F2" s="590" t="s">
        <v>1227</v>
      </c>
      <c r="G2" s="590" t="s">
        <v>845</v>
      </c>
      <c r="H2" s="590" t="s">
        <v>1274</v>
      </c>
      <c r="I2" s="590" t="s">
        <v>2336</v>
      </c>
      <c r="J2" s="590" t="s">
        <v>1157</v>
      </c>
      <c r="K2" s="590" t="s">
        <v>1158</v>
      </c>
      <c r="L2" s="590" t="s">
        <v>1197</v>
      </c>
      <c r="M2" s="590" t="s">
        <v>1198</v>
      </c>
      <c r="N2" s="590" t="s">
        <v>1672</v>
      </c>
      <c r="O2" s="590" t="s">
        <v>586</v>
      </c>
      <c r="P2" s="590" t="s">
        <v>1194</v>
      </c>
      <c r="Q2" s="591" t="s">
        <v>456</v>
      </c>
      <c r="R2" s="591" t="s">
        <v>2329</v>
      </c>
      <c r="S2" s="591" t="s">
        <v>457</v>
      </c>
      <c r="T2" s="591" t="s">
        <v>458</v>
      </c>
      <c r="U2" s="591" t="s">
        <v>459</v>
      </c>
      <c r="V2" s="592" t="s">
        <v>105</v>
      </c>
      <c r="W2" s="592" t="s">
        <v>847</v>
      </c>
      <c r="X2" s="524"/>
      <c r="Y2" s="524"/>
    </row>
    <row r="3" spans="1:26" ht="75">
      <c r="A3" s="682" t="s">
        <v>50</v>
      </c>
      <c r="B3" s="683" t="b">
        <v>0</v>
      </c>
      <c r="C3" s="299"/>
      <c r="D3" s="300" t="s">
        <v>1694</v>
      </c>
      <c r="E3" s="522" t="s">
        <v>1695</v>
      </c>
      <c r="F3" s="301">
        <v>6</v>
      </c>
      <c r="G3" s="312" t="s">
        <v>2337</v>
      </c>
      <c r="H3" s="605" t="s">
        <v>2310</v>
      </c>
      <c r="I3" s="666">
        <v>3</v>
      </c>
      <c r="J3" s="301">
        <v>83</v>
      </c>
      <c r="K3" s="301">
        <v>65</v>
      </c>
      <c r="L3" s="301">
        <v>96</v>
      </c>
      <c r="M3" s="301">
        <v>95</v>
      </c>
      <c r="N3" s="301"/>
      <c r="O3" s="654">
        <v>79.400000000000006</v>
      </c>
      <c r="P3" s="299" t="s">
        <v>1195</v>
      </c>
      <c r="Q3" s="668" t="s">
        <v>2338</v>
      </c>
      <c r="R3" s="668" t="s">
        <v>2331</v>
      </c>
      <c r="S3" s="302" t="s">
        <v>938</v>
      </c>
      <c r="T3" s="303" t="s">
        <v>1284</v>
      </c>
      <c r="U3" s="606" t="s">
        <v>1285</v>
      </c>
      <c r="V3" s="609" t="s">
        <v>389</v>
      </c>
      <c r="W3" s="978"/>
      <c r="X3" s="293"/>
      <c r="Y3" s="293"/>
    </row>
    <row r="4" spans="1:26" ht="75">
      <c r="A4" s="682" t="s">
        <v>38</v>
      </c>
      <c r="B4" s="683" t="b">
        <v>1</v>
      </c>
      <c r="C4" s="299"/>
      <c r="D4" s="300" t="s">
        <v>1658</v>
      </c>
      <c r="E4" s="522" t="s">
        <v>1679</v>
      </c>
      <c r="F4" s="301">
        <v>14</v>
      </c>
      <c r="G4" s="312" t="s">
        <v>2416</v>
      </c>
      <c r="H4" s="605" t="s">
        <v>1955</v>
      </c>
      <c r="I4" s="666">
        <v>4</v>
      </c>
      <c r="J4" s="301">
        <v>67</v>
      </c>
      <c r="K4" s="301">
        <v>70</v>
      </c>
      <c r="L4" s="301">
        <v>72</v>
      </c>
      <c r="M4" s="301">
        <v>40</v>
      </c>
      <c r="N4" s="301">
        <v>45</v>
      </c>
      <c r="O4" s="654">
        <v>12.23</v>
      </c>
      <c r="P4" s="299" t="s">
        <v>1195</v>
      </c>
      <c r="Q4" s="668" t="s">
        <v>2431</v>
      </c>
      <c r="R4" s="668" t="s">
        <v>2330</v>
      </c>
      <c r="S4" s="302" t="s">
        <v>938</v>
      </c>
      <c r="T4" s="303" t="s">
        <v>1284</v>
      </c>
      <c r="U4" s="606" t="s">
        <v>1285</v>
      </c>
      <c r="V4" s="607" t="s">
        <v>393</v>
      </c>
      <c r="W4" s="608" t="s">
        <v>2432</v>
      </c>
      <c r="X4" s="293"/>
      <c r="Y4" s="293"/>
    </row>
    <row r="5" spans="1:26" ht="75">
      <c r="A5" s="682" t="s">
        <v>30</v>
      </c>
      <c r="B5" s="683" t="b">
        <v>1</v>
      </c>
      <c r="C5" s="299"/>
      <c r="D5" s="300" t="s">
        <v>1656</v>
      </c>
      <c r="E5" s="522" t="s">
        <v>1676</v>
      </c>
      <c r="F5" s="301">
        <v>12</v>
      </c>
      <c r="G5" s="312" t="s">
        <v>2415</v>
      </c>
      <c r="H5" s="605" t="s">
        <v>1956</v>
      </c>
      <c r="I5" s="666">
        <v>4</v>
      </c>
      <c r="J5" s="301">
        <v>70</v>
      </c>
      <c r="K5" s="301">
        <v>85</v>
      </c>
      <c r="L5" s="301">
        <v>67</v>
      </c>
      <c r="M5" s="301">
        <v>50</v>
      </c>
      <c r="N5" s="301">
        <v>40</v>
      </c>
      <c r="O5" s="654">
        <v>12.830000000000002</v>
      </c>
      <c r="P5" s="299" t="s">
        <v>1195</v>
      </c>
      <c r="Q5" s="668" t="s">
        <v>2433</v>
      </c>
      <c r="R5" s="668" t="s">
        <v>2330</v>
      </c>
      <c r="S5" s="302" t="s">
        <v>938</v>
      </c>
      <c r="T5" s="303" t="s">
        <v>1284</v>
      </c>
      <c r="U5" s="606" t="s">
        <v>1285</v>
      </c>
      <c r="V5" s="607" t="s">
        <v>393</v>
      </c>
      <c r="W5" s="608" t="s">
        <v>2434</v>
      </c>
      <c r="X5" s="293"/>
      <c r="Y5" s="293"/>
    </row>
    <row r="6" spans="1:26" ht="75">
      <c r="A6" s="682" t="s">
        <v>42</v>
      </c>
      <c r="B6" s="683" t="b">
        <v>1</v>
      </c>
      <c r="C6" s="299"/>
      <c r="D6" s="300" t="s">
        <v>1660</v>
      </c>
      <c r="E6" s="522" t="s">
        <v>1682</v>
      </c>
      <c r="F6" s="301">
        <v>13</v>
      </c>
      <c r="G6" s="312" t="s">
        <v>2417</v>
      </c>
      <c r="H6" s="605" t="s">
        <v>1957</v>
      </c>
      <c r="I6" s="666">
        <v>4</v>
      </c>
      <c r="J6" s="301">
        <v>53</v>
      </c>
      <c r="K6" s="301">
        <v>47</v>
      </c>
      <c r="L6" s="301">
        <v>33</v>
      </c>
      <c r="M6" s="301">
        <v>50</v>
      </c>
      <c r="N6" s="301">
        <v>70</v>
      </c>
      <c r="O6" s="654">
        <v>9.75</v>
      </c>
      <c r="P6" s="299" t="s">
        <v>1195</v>
      </c>
      <c r="Q6" s="668" t="s">
        <v>2435</v>
      </c>
      <c r="R6" s="668" t="s">
        <v>2330</v>
      </c>
      <c r="S6" s="302" t="s">
        <v>938</v>
      </c>
      <c r="T6" s="303" t="s">
        <v>1284</v>
      </c>
      <c r="U6" s="606" t="s">
        <v>1285</v>
      </c>
      <c r="V6" s="607" t="s">
        <v>393</v>
      </c>
      <c r="W6" s="608" t="s">
        <v>2436</v>
      </c>
      <c r="X6" s="293"/>
      <c r="Y6" s="293"/>
    </row>
    <row r="7" spans="1:26" ht="75">
      <c r="A7" s="682" t="s">
        <v>55</v>
      </c>
      <c r="B7" s="683" t="b">
        <v>0</v>
      </c>
      <c r="C7" s="299"/>
      <c r="D7" s="300" t="s">
        <v>1662</v>
      </c>
      <c r="E7" s="522" t="s">
        <v>1673</v>
      </c>
      <c r="F7" s="301">
        <v>19</v>
      </c>
      <c r="G7" s="312" t="s">
        <v>2414</v>
      </c>
      <c r="H7" s="605" t="s">
        <v>1869</v>
      </c>
      <c r="I7" s="666">
        <v>4</v>
      </c>
      <c r="J7" s="301">
        <v>94</v>
      </c>
      <c r="K7" s="301">
        <v>95</v>
      </c>
      <c r="L7" s="301">
        <v>40</v>
      </c>
      <c r="M7" s="301">
        <v>60</v>
      </c>
      <c r="N7" s="301">
        <v>42</v>
      </c>
      <c r="O7" s="654">
        <v>15.16</v>
      </c>
      <c r="P7" s="299" t="s">
        <v>1195</v>
      </c>
      <c r="Q7" s="668" t="s">
        <v>2437</v>
      </c>
      <c r="R7" s="668" t="s">
        <v>2330</v>
      </c>
      <c r="S7" s="302" t="s">
        <v>1648</v>
      </c>
      <c r="T7" s="303" t="s">
        <v>1647</v>
      </c>
      <c r="U7" s="606" t="s">
        <v>1646</v>
      </c>
      <c r="V7" s="607" t="s">
        <v>393</v>
      </c>
      <c r="W7" s="608" t="s">
        <v>2438</v>
      </c>
      <c r="X7" s="293"/>
      <c r="Y7" s="293"/>
    </row>
    <row r="8" spans="1:26" ht="75">
      <c r="C8" s="299"/>
      <c r="D8" s="300" t="s">
        <v>1340</v>
      </c>
      <c r="E8" s="522" t="s">
        <v>1691</v>
      </c>
      <c r="F8" s="301">
        <v>4</v>
      </c>
      <c r="G8" s="312" t="s">
        <v>2420</v>
      </c>
      <c r="H8" s="605" t="s">
        <v>1958</v>
      </c>
      <c r="I8" s="666">
        <v>3</v>
      </c>
      <c r="J8" s="301">
        <v>68</v>
      </c>
      <c r="K8" s="301">
        <v>60</v>
      </c>
      <c r="L8" s="301">
        <v>70</v>
      </c>
      <c r="M8" s="301">
        <v>78</v>
      </c>
      <c r="N8" s="301">
        <v>77</v>
      </c>
      <c r="O8" s="654">
        <v>13.76</v>
      </c>
      <c r="P8" s="299" t="s">
        <v>1195</v>
      </c>
      <c r="Q8" s="668" t="s">
        <v>2439</v>
      </c>
      <c r="R8" s="668" t="s">
        <v>2330</v>
      </c>
      <c r="S8" s="302" t="s">
        <v>938</v>
      </c>
      <c r="T8" s="303" t="s">
        <v>1284</v>
      </c>
      <c r="U8" s="606" t="s">
        <v>1285</v>
      </c>
      <c r="V8" s="607" t="s">
        <v>393</v>
      </c>
      <c r="W8" s="608" t="s">
        <v>2440</v>
      </c>
      <c r="X8" s="293"/>
      <c r="Y8" s="293"/>
    </row>
    <row r="9" spans="1:26" ht="75">
      <c r="C9" s="299"/>
      <c r="D9" s="300" t="s">
        <v>1650</v>
      </c>
      <c r="E9" s="522" t="s">
        <v>1685</v>
      </c>
      <c r="F9" s="301">
        <v>11</v>
      </c>
      <c r="G9" s="312" t="s">
        <v>2418</v>
      </c>
      <c r="H9" s="605" t="s">
        <v>1959</v>
      </c>
      <c r="I9" s="666">
        <v>3</v>
      </c>
      <c r="J9" s="301">
        <v>75</v>
      </c>
      <c r="K9" s="301">
        <v>75</v>
      </c>
      <c r="L9" s="301">
        <v>33</v>
      </c>
      <c r="M9" s="301">
        <v>40</v>
      </c>
      <c r="N9" s="301">
        <v>70</v>
      </c>
      <c r="O9" s="654">
        <v>12.17</v>
      </c>
      <c r="P9" s="299" t="s">
        <v>1195</v>
      </c>
      <c r="Q9" s="668" t="s">
        <v>2441</v>
      </c>
      <c r="R9" s="668" t="s">
        <v>2330</v>
      </c>
      <c r="S9" s="302" t="s">
        <v>938</v>
      </c>
      <c r="T9" s="303" t="s">
        <v>1284</v>
      </c>
      <c r="U9" s="606" t="s">
        <v>1285</v>
      </c>
      <c r="V9" s="607" t="s">
        <v>393</v>
      </c>
      <c r="W9" s="608" t="s">
        <v>2442</v>
      </c>
      <c r="X9" s="293"/>
      <c r="Y9" s="293"/>
    </row>
    <row r="10" spans="1:26" ht="75">
      <c r="C10" s="299"/>
      <c r="D10" s="300" t="s">
        <v>1671</v>
      </c>
      <c r="E10" s="522" t="s">
        <v>1703</v>
      </c>
      <c r="F10" s="301">
        <v>1</v>
      </c>
      <c r="G10" s="312" t="s">
        <v>2422</v>
      </c>
      <c r="H10" s="605" t="s">
        <v>1960</v>
      </c>
      <c r="I10" s="666">
        <v>2</v>
      </c>
      <c r="J10" s="301">
        <v>95</v>
      </c>
      <c r="K10" s="301">
        <v>78</v>
      </c>
      <c r="L10" s="301">
        <v>80</v>
      </c>
      <c r="M10" s="301">
        <v>75</v>
      </c>
      <c r="N10" s="301">
        <v>75</v>
      </c>
      <c r="O10" s="654">
        <v>16.75</v>
      </c>
      <c r="P10" s="299" t="s">
        <v>1195</v>
      </c>
      <c r="Q10" s="668" t="s">
        <v>2443</v>
      </c>
      <c r="R10" s="668" t="s">
        <v>2330</v>
      </c>
      <c r="S10" s="302" t="s">
        <v>938</v>
      </c>
      <c r="T10" s="303" t="s">
        <v>1284</v>
      </c>
      <c r="U10" s="606" t="s">
        <v>1285</v>
      </c>
      <c r="V10" s="607" t="s">
        <v>393</v>
      </c>
      <c r="W10" s="608" t="s">
        <v>2444</v>
      </c>
      <c r="X10" s="293"/>
      <c r="Y10" s="293"/>
    </row>
    <row r="11" spans="1:26" ht="75">
      <c r="C11" s="299"/>
      <c r="D11" s="300" t="s">
        <v>1652</v>
      </c>
      <c r="E11" s="522" t="s">
        <v>1688</v>
      </c>
      <c r="F11" s="301">
        <v>2</v>
      </c>
      <c r="G11" s="312" t="s">
        <v>2419</v>
      </c>
      <c r="H11" s="214" t="s">
        <v>1961</v>
      </c>
      <c r="I11" s="667">
        <v>2</v>
      </c>
      <c r="J11" s="301">
        <v>80</v>
      </c>
      <c r="K11" s="301">
        <v>67</v>
      </c>
      <c r="L11" s="301">
        <v>25</v>
      </c>
      <c r="M11" s="301">
        <v>67</v>
      </c>
      <c r="N11" s="301">
        <v>40</v>
      </c>
      <c r="O11" s="654">
        <v>12.510000000000002</v>
      </c>
      <c r="P11" s="299" t="s">
        <v>1195</v>
      </c>
      <c r="Q11" s="668" t="s">
        <v>2445</v>
      </c>
      <c r="R11" s="668" t="s">
        <v>2330</v>
      </c>
      <c r="S11" s="302" t="s">
        <v>938</v>
      </c>
      <c r="T11" s="303" t="s">
        <v>1284</v>
      </c>
      <c r="U11" s="606" t="s">
        <v>1285</v>
      </c>
      <c r="V11" s="607" t="s">
        <v>393</v>
      </c>
      <c r="W11" s="608" t="s">
        <v>2446</v>
      </c>
      <c r="X11" s="293"/>
      <c r="Y11" s="293"/>
    </row>
    <row r="12" spans="1:26">
      <c r="W12" s="293"/>
      <c r="X12" s="293"/>
      <c r="Y12" s="293"/>
    </row>
    <row r="13" spans="1:26">
      <c r="W13" s="293"/>
      <c r="X13" s="293"/>
    </row>
    <row r="14" spans="1:26">
      <c r="W14" s="293"/>
      <c r="X14" s="293"/>
    </row>
    <row r="15" spans="1:26">
      <c r="W15" s="293"/>
      <c r="X15" s="293"/>
    </row>
    <row r="16" spans="1:26">
      <c r="W16" s="293"/>
      <c r="X16" s="293"/>
    </row>
    <row r="17" spans="1:24">
      <c r="W17" s="293"/>
      <c r="X17" s="293"/>
    </row>
    <row r="18" spans="1:24">
      <c r="W18" s="293"/>
      <c r="X18" s="293"/>
    </row>
    <row r="19" spans="1:24">
      <c r="X19" s="293"/>
    </row>
    <row r="24" spans="1:24" ht="37.5" customHeight="1">
      <c r="A24" s="681" t="s">
        <v>2413</v>
      </c>
      <c r="B24" s="525"/>
      <c r="E24" s="135" t="s">
        <v>1201</v>
      </c>
      <c r="F24" s="716" t="s">
        <v>461</v>
      </c>
      <c r="G24" s="135" t="s">
        <v>461</v>
      </c>
      <c r="H24" s="135" t="s">
        <v>2455</v>
      </c>
      <c r="I24" s="135" t="s">
        <v>2456</v>
      </c>
      <c r="J24" s="135" t="s">
        <v>2474</v>
      </c>
      <c r="K24" s="135" t="s">
        <v>2475</v>
      </c>
      <c r="L24" s="716" t="s">
        <v>2473</v>
      </c>
      <c r="M24" s="135" t="s">
        <v>2457</v>
      </c>
      <c r="N24" s="135" t="s">
        <v>2462</v>
      </c>
      <c r="O24" s="135" t="s">
        <v>2463</v>
      </c>
      <c r="P24" s="135" t="s">
        <v>105</v>
      </c>
      <c r="Q24" s="135" t="s">
        <v>2458</v>
      </c>
      <c r="U24" s="714" t="s">
        <v>457</v>
      </c>
      <c r="V24" s="714" t="s">
        <v>458</v>
      </c>
      <c r="W24" s="714" t="s">
        <v>459</v>
      </c>
    </row>
    <row r="25" spans="1:24" ht="35.4">
      <c r="A25" s="682" t="s">
        <v>50</v>
      </c>
      <c r="B25" s="683" t="b">
        <v>0</v>
      </c>
      <c r="E25" s="712" t="s">
        <v>1695</v>
      </c>
      <c r="F25" s="716" t="s">
        <v>2470</v>
      </c>
      <c r="G25" s="107" t="s">
        <v>2464</v>
      </c>
      <c r="H25" s="140">
        <v>18</v>
      </c>
      <c r="I25" s="140">
        <v>12</v>
      </c>
      <c r="J25" s="140">
        <v>5</v>
      </c>
      <c r="K25" s="717">
        <v>0.5</v>
      </c>
      <c r="L25" s="715">
        <v>42</v>
      </c>
      <c r="M25" s="717">
        <v>0.45</v>
      </c>
      <c r="N25" s="140" t="s">
        <v>2465</v>
      </c>
      <c r="O25" s="717">
        <v>0.4</v>
      </c>
      <c r="P25" s="718" t="s">
        <v>2459</v>
      </c>
      <c r="Q25" s="140" t="s">
        <v>360</v>
      </c>
      <c r="U25" s="713" t="s">
        <v>938</v>
      </c>
      <c r="V25" s="713" t="s">
        <v>1284</v>
      </c>
      <c r="W25" s="713" t="s">
        <v>1285</v>
      </c>
    </row>
    <row r="26" spans="1:24" ht="35.4">
      <c r="A26" s="682" t="s">
        <v>38</v>
      </c>
      <c r="B26" s="683" t="b">
        <v>1</v>
      </c>
      <c r="E26" s="712" t="s">
        <v>1679</v>
      </c>
      <c r="F26" s="716" t="s">
        <v>2471</v>
      </c>
      <c r="G26" s="107" t="s">
        <v>2466</v>
      </c>
      <c r="H26" s="140">
        <v>22</v>
      </c>
      <c r="I26" s="140">
        <v>10</v>
      </c>
      <c r="J26" s="140">
        <v>3</v>
      </c>
      <c r="K26" s="717">
        <v>0.13</v>
      </c>
      <c r="L26" s="715">
        <v>30</v>
      </c>
      <c r="M26" s="717">
        <v>0.6</v>
      </c>
      <c r="N26" s="140" t="s">
        <v>2467</v>
      </c>
      <c r="O26" s="717">
        <v>0.35</v>
      </c>
      <c r="P26" s="719" t="s">
        <v>2460</v>
      </c>
      <c r="Q26" s="140" t="s">
        <v>2461</v>
      </c>
      <c r="U26" s="713" t="s">
        <v>938</v>
      </c>
      <c r="V26" s="713" t="s">
        <v>1284</v>
      </c>
      <c r="W26" s="713" t="s">
        <v>1285</v>
      </c>
    </row>
    <row r="27" spans="1:24" ht="35.4">
      <c r="A27" s="682" t="s">
        <v>30</v>
      </c>
      <c r="B27" s="683" t="b">
        <v>1</v>
      </c>
      <c r="E27" s="712" t="s">
        <v>1676</v>
      </c>
      <c r="F27" s="716" t="s">
        <v>2472</v>
      </c>
      <c r="G27" s="107" t="s">
        <v>2468</v>
      </c>
      <c r="H27" s="140">
        <v>9</v>
      </c>
      <c r="I27" s="140">
        <v>6</v>
      </c>
      <c r="J27" s="140">
        <v>2</v>
      </c>
      <c r="K27" s="717">
        <v>0.02</v>
      </c>
      <c r="L27" s="715">
        <v>50</v>
      </c>
      <c r="M27" s="717">
        <v>0.3</v>
      </c>
      <c r="N27" s="140" t="s">
        <v>2469</v>
      </c>
      <c r="O27" s="717">
        <v>0.5</v>
      </c>
      <c r="P27" s="718" t="s">
        <v>2459</v>
      </c>
      <c r="Q27" s="140" t="s">
        <v>360</v>
      </c>
      <c r="U27" s="713" t="s">
        <v>938</v>
      </c>
      <c r="V27" s="713" t="s">
        <v>1284</v>
      </c>
      <c r="W27" s="713" t="s">
        <v>1285</v>
      </c>
    </row>
    <row r="28" spans="1:24" ht="35.4">
      <c r="A28" s="682" t="s">
        <v>42</v>
      </c>
      <c r="B28" s="683" t="b">
        <v>1</v>
      </c>
      <c r="E28" s="712" t="s">
        <v>1682</v>
      </c>
      <c r="F28" s="716" t="s">
        <v>2470</v>
      </c>
      <c r="G28" s="713"/>
      <c r="H28" s="715"/>
      <c r="I28" s="715"/>
      <c r="J28" s="715"/>
      <c r="K28" s="715"/>
      <c r="L28" s="715"/>
      <c r="M28" s="715"/>
      <c r="N28" s="715"/>
      <c r="O28" s="715"/>
      <c r="P28" s="715"/>
      <c r="Q28" s="715"/>
      <c r="U28" s="713"/>
      <c r="V28" s="713"/>
      <c r="W28" s="713"/>
    </row>
    <row r="29" spans="1:24" ht="35.4">
      <c r="A29" s="682" t="s">
        <v>55</v>
      </c>
      <c r="B29" s="683" t="b">
        <v>0</v>
      </c>
      <c r="E29" s="712" t="s">
        <v>1673</v>
      </c>
      <c r="F29" s="716" t="s">
        <v>2470</v>
      </c>
      <c r="G29" s="713"/>
      <c r="H29" s="715"/>
      <c r="I29" s="715"/>
      <c r="J29" s="715"/>
      <c r="K29" s="715"/>
      <c r="L29" s="715"/>
      <c r="M29" s="715"/>
      <c r="N29" s="715"/>
      <c r="O29" s="715"/>
      <c r="P29" s="715"/>
      <c r="Q29" s="715"/>
      <c r="U29" s="713"/>
      <c r="V29" s="713"/>
      <c r="W29" s="713"/>
    </row>
    <row r="30" spans="1:24" ht="15.6">
      <c r="E30" s="712" t="s">
        <v>1691</v>
      </c>
      <c r="F30" s="716" t="s">
        <v>2470</v>
      </c>
      <c r="G30" s="713"/>
      <c r="H30" s="715"/>
      <c r="I30" s="715"/>
      <c r="J30" s="715"/>
      <c r="K30" s="715"/>
      <c r="L30" s="715"/>
      <c r="M30" s="715"/>
      <c r="N30" s="715"/>
      <c r="O30" s="715"/>
      <c r="P30" s="715"/>
      <c r="Q30" s="715"/>
      <c r="U30" s="713"/>
      <c r="V30" s="713"/>
      <c r="W30" s="713"/>
    </row>
    <row r="31" spans="1:24" ht="15.6">
      <c r="E31" s="712" t="s">
        <v>1685</v>
      </c>
      <c r="F31" s="716" t="s">
        <v>2470</v>
      </c>
      <c r="G31" s="713"/>
      <c r="H31" s="715"/>
      <c r="I31" s="715"/>
      <c r="J31" s="715"/>
      <c r="K31" s="715"/>
      <c r="L31" s="715"/>
      <c r="M31" s="715"/>
      <c r="N31" s="715"/>
      <c r="O31" s="715"/>
      <c r="P31" s="715"/>
      <c r="Q31" s="715"/>
      <c r="U31" s="713"/>
      <c r="V31" s="713"/>
      <c r="W31" s="713"/>
    </row>
    <row r="32" spans="1:24" ht="15.6">
      <c r="E32" s="712" t="s">
        <v>1703</v>
      </c>
      <c r="F32" s="716" t="s">
        <v>2470</v>
      </c>
      <c r="G32" s="713"/>
      <c r="H32" s="715"/>
      <c r="I32" s="715"/>
      <c r="J32" s="715"/>
      <c r="K32" s="715"/>
      <c r="L32" s="715"/>
      <c r="M32" s="715"/>
      <c r="N32" s="715"/>
      <c r="O32" s="715"/>
      <c r="P32" s="715"/>
      <c r="Q32" s="715"/>
      <c r="U32" s="713"/>
      <c r="V32" s="713"/>
      <c r="W32" s="713"/>
    </row>
    <row r="33" spans="5:23" ht="15.6">
      <c r="E33" s="712" t="s">
        <v>1688</v>
      </c>
      <c r="F33" s="716" t="s">
        <v>2470</v>
      </c>
      <c r="G33" s="713"/>
      <c r="H33" s="715"/>
      <c r="I33" s="715"/>
      <c r="J33" s="715"/>
      <c r="K33" s="715"/>
      <c r="L33" s="715"/>
      <c r="M33" s="715"/>
      <c r="N33" s="715"/>
      <c r="O33" s="715"/>
      <c r="P33" s="715"/>
      <c r="Q33" s="715"/>
      <c r="U33" s="713"/>
      <c r="V33" s="713"/>
      <c r="W33" s="713"/>
    </row>
  </sheetData>
  <sheetProtection sort="0" autoFilter="0" pivotTables="0"/>
  <dataConsolidate/>
  <mergeCells count="2">
    <mergeCell ref="S1:U1"/>
    <mergeCell ref="J1:N1"/>
  </mergeCells>
  <pageMargins left="0.7" right="0.7" top="0.75" bottom="0.75" header="0.3" footer="0.3"/>
  <ignoredErrors>
    <ignoredError sqref="P12:P23 P34:P63" numberStoredAsText="1"/>
  </ignoredErrors>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338EE-8A10-4DA9-B624-57101EDC0D5D}">
  <sheetPr codeName="Sheet14">
    <tabColor rgb="FF92D050"/>
  </sheetPr>
  <dimension ref="A1:P16"/>
  <sheetViews>
    <sheetView showGridLines="0" zoomScale="90" zoomScaleNormal="90" workbookViewId="0">
      <selection activeCell="C7" sqref="C7"/>
    </sheetView>
  </sheetViews>
  <sheetFormatPr defaultRowHeight="13.2"/>
  <cols>
    <col min="1" max="1" width="1.109375" style="294" customWidth="1"/>
    <col min="2" max="2" width="37.21875" bestFit="1" customWidth="1"/>
    <col min="3" max="3" width="34.77734375" style="294" bestFit="1" customWidth="1"/>
    <col min="4" max="4" width="80.77734375" style="294" hidden="1" customWidth="1"/>
    <col min="5" max="5" width="17.77734375" style="294" hidden="1" customWidth="1"/>
    <col min="6" max="6" width="48.77734375" style="294" customWidth="1"/>
    <col min="7" max="10" width="12.77734375" style="294" bestFit="1" customWidth="1"/>
    <col min="11" max="11" width="7.109375" style="304" hidden="1" customWidth="1"/>
    <col min="12" max="12" width="18.109375" style="298" bestFit="1" customWidth="1"/>
    <col min="13" max="13" width="20.77734375" style="526" bestFit="1" customWidth="1"/>
    <col min="14" max="14" width="21.109375" style="526" bestFit="1" customWidth="1"/>
    <col min="15" max="15" width="18.77734375" style="526" bestFit="1" customWidth="1"/>
    <col min="16" max="16" width="10.5546875" style="526" bestFit="1" customWidth="1"/>
  </cols>
  <sheetData>
    <row r="1" spans="2:16" ht="6" customHeight="1"/>
    <row r="2" spans="2:16" ht="1.05" customHeight="1"/>
    <row r="3" spans="2:16" ht="42" customHeight="1">
      <c r="B3" s="518" t="s">
        <v>1202</v>
      </c>
      <c r="C3" s="519" t="s">
        <v>585</v>
      </c>
      <c r="D3" s="519" t="s">
        <v>843</v>
      </c>
      <c r="E3" s="519" t="s">
        <v>1231</v>
      </c>
      <c r="F3" s="519" t="s">
        <v>1273</v>
      </c>
      <c r="G3" s="519" t="s">
        <v>1157</v>
      </c>
      <c r="H3" s="519" t="s">
        <v>1158</v>
      </c>
      <c r="I3" s="519" t="s">
        <v>1197</v>
      </c>
      <c r="J3" s="519" t="s">
        <v>1198</v>
      </c>
      <c r="K3" s="519" t="s">
        <v>1194</v>
      </c>
      <c r="L3" s="520" t="s">
        <v>456</v>
      </c>
      <c r="M3" s="521" t="s">
        <v>457</v>
      </c>
      <c r="N3" s="521" t="s">
        <v>458</v>
      </c>
      <c r="O3" s="521" t="s">
        <v>459</v>
      </c>
      <c r="P3" s="519" t="s">
        <v>105</v>
      </c>
    </row>
    <row r="4" spans="2:16" ht="39" customHeight="1">
      <c r="B4" s="589" t="s">
        <v>1333</v>
      </c>
      <c r="C4" s="305" t="s">
        <v>1326</v>
      </c>
      <c r="D4" s="327" t="str">
        <f>IFERROR(_xlfn.XLOOKUP(KPI_monthly[[#This Row],[KPI Name]],[2]!KPI_table[KPI],[2]!KPI_table[KPI Formula]), "")</f>
        <v>(Actual Costs ÷ Forecasted Costs) × 100%</v>
      </c>
      <c r="E4" s="327" t="str">
        <f>IF(KPI_monthly[[#This Row],[KPI Name]]&lt;&gt;"",IF(_xlfn.XLOOKUP(KPI_monthly[[#This Row],[KPI Name]],[2]!KPI_table[KPI],[2]!KPI_table[Notes])&lt;&gt;0, _xlfn.XLOOKUP(KPI_monthly[[#This Row],[KPI Name]],[2]!KPI_table[KPI],[2]!KPI_table[Notes]),""),"")</f>
        <v>Cost forecasts accurate</v>
      </c>
      <c r="F4" s="612" t="str">
        <f>IF(KPI_monthly[[#This Row],[KPI Name]]&lt;&gt;"",IF(_xlfn.XLOOKUP(KPI_monthly[[#This Row],[KPI Name]],[2]!KPI_table[KPI],[2]!KPI_table[🟢 Sample Input Data])&lt;&gt;0, _xlfn.XLOOKUP(KPI_monthly[[#This Row],[KPI Name]],[2]!KPI_table[KPI],[2]!KPI_table[🟢 Sample Input Data]),""),"")</f>
        <v>Input A: Actual: £52M, 
Input B: Forecast: £50M</v>
      </c>
      <c r="G4" s="710">
        <v>8.1999999999999993</v>
      </c>
      <c r="H4" s="710">
        <v>9.3000000000000007</v>
      </c>
      <c r="I4" s="604"/>
      <c r="J4" s="604"/>
      <c r="K4" s="610" t="str">
        <f>IF(KPI_monthly[[#This Row],[KPI Name]]&lt;&gt;"", IF(_xlfn.XLOOKUP(KPI_monthly[[#This Row],[KPI Name]],[2]!KPI_table[KPI],[2]!KPI_table[Unit])&lt;&gt;"",_xlfn.XLOOKUP(KPI_monthly[[#This Row],[KPI Name]],[2]!KPI_table[KPI],[2]!KPI_table[Unit]),""),"")</f>
        <v>%</v>
      </c>
      <c r="L4" s="705" t="s">
        <v>2320</v>
      </c>
      <c r="M4" s="706" t="str">
        <f>IF(KPI_monthly[[#This Row],[KPI Name]]&lt;&gt;"",IF(_xlfn.XLOOKUP(KPI_monthly[[#This Row],[KPI Name]],[2]!KPI_table[KPI],[2]!KPI_table[Green])&lt;&gt;0, _xlfn.XLOOKUP(KPI_monthly[[#This Row],[KPI Name]],[2]!KPI_table[KPI],[2]!KPI_table[Green]),""),"")</f>
        <v>95-105%</v>
      </c>
      <c r="N4" s="527" t="str">
        <f>IF(KPI_monthly[[#This Row],[KPI Name]]&lt;&gt;"",IF(_xlfn.XLOOKUP(KPI_monthly[[#This Row],[KPI Name]],[2]!KPI_table[KPI],[2]!KPI_table[Amber])&lt;&gt;0, _xlfn.XLOOKUP(KPI_monthly[[#This Row],[KPI Name]],[2]!KPI_table[KPI],[2]!KPI_table[Amber]),""),"")</f>
        <v>90-95% or 105-110%</v>
      </c>
      <c r="O4" s="611" t="str">
        <f>IF(KPI_monthly[[#This Row],[KPI Name]]&lt;&gt;"",IF(_xlfn.XLOOKUP(KPI_monthly[[#This Row],[KPI Name]],[2]!KPI_table[KPI],[2]!KPI_table[Red])&lt;&gt;0, _xlfn.XLOOKUP(KPI_monthly[[#This Row],[KPI Name]],[2]!KPI_table[KPI],[2]!KPI_table[Red]),""),"")</f>
        <v>&lt;90% or &gt;110%</v>
      </c>
      <c r="P4" s="596" t="s">
        <v>393</v>
      </c>
    </row>
    <row r="5" spans="2:16" ht="31.2">
      <c r="B5" s="589" t="s">
        <v>1333</v>
      </c>
      <c r="C5" s="305" t="s">
        <v>1329</v>
      </c>
      <c r="D5" s="327" t="str">
        <f>IFERROR(_xlfn.XLOOKUP(KPI_monthly[[#This Row],[KPI Name]],[2]!KPI_table[KPI],[2]!KPI_table[KPI Formula]), "")</f>
        <v>(Actual Completion ÷ Forecasted Completion) × 100%</v>
      </c>
      <c r="E5" s="327" t="str">
        <f>IF(KPI_monthly[[#This Row],[KPI Name]]&lt;&gt;"",IF(_xlfn.XLOOKUP(KPI_monthly[[#This Row],[KPI Name]],[2]!KPI_table[KPI],[2]!KPI_table[Notes])&lt;&gt;0, _xlfn.XLOOKUP(KPI_monthly[[#This Row],[KPI Name]],[2]!KPI_table[KPI],[2]!KPI_table[Notes]),""),"")</f>
        <v>Schedules projected reliably</v>
      </c>
      <c r="F5" s="612" t="str">
        <f>IF(KPI_monthly[[#This Row],[KPI Name]]&lt;&gt;"",IF(_xlfn.XLOOKUP(KPI_monthly[[#This Row],[KPI Name]],[2]!KPI_table[KPI],[2]!KPI_table[🟢 Sample Input Data])&lt;&gt;0, _xlfn.XLOOKUP(KPI_monthly[[#This Row],[KPI Name]],[2]!KPI_table[KPI],[2]!KPI_table[🟢 Sample Input Data]),""),"")</f>
        <v>Input A: Actual: 18 months, 
Input B: Forecast: 17 months</v>
      </c>
      <c r="G5" s="710">
        <v>18</v>
      </c>
      <c r="H5" s="710">
        <v>17</v>
      </c>
      <c r="I5" s="604"/>
      <c r="J5" s="604"/>
      <c r="K5" s="610" t="str">
        <f>IF(KPI_monthly[[#This Row],[KPI Name]]&lt;&gt;"", IF(_xlfn.XLOOKUP(KPI_monthly[[#This Row],[KPI Name]],[2]!KPI_table[KPI],[2]!KPI_table[Unit])&lt;&gt;"",_xlfn.XLOOKUP(KPI_monthly[[#This Row],[KPI Name]],[2]!KPI_table[KPI],[2]!KPI_table[Unit]),""),"")</f>
        <v>%</v>
      </c>
      <c r="L5" s="705" t="s">
        <v>1834</v>
      </c>
      <c r="M5" s="706" t="str">
        <f>IF(KPI_monthly[[#This Row],[KPI Name]]&lt;&gt;"",IF(_xlfn.XLOOKUP(KPI_monthly[[#This Row],[KPI Name]],[2]!KPI_table[KPI],[2]!KPI_table[Green])&lt;&gt;0, _xlfn.XLOOKUP(KPI_monthly[[#This Row],[KPI Name]],[2]!KPI_table[KPI],[2]!KPI_table[Green]),""),"")</f>
        <v>95-105%</v>
      </c>
      <c r="N5" s="527" t="str">
        <f>IF(KPI_monthly[[#This Row],[KPI Name]]&lt;&gt;"",IF(_xlfn.XLOOKUP(KPI_monthly[[#This Row],[KPI Name]],[2]!KPI_table[KPI],[2]!KPI_table[Amber])&lt;&gt;0, _xlfn.XLOOKUP(KPI_monthly[[#This Row],[KPI Name]],[2]!KPI_table[KPI],[2]!KPI_table[Amber]),""),"")</f>
        <v>90-95% or 105-110%</v>
      </c>
      <c r="O5" s="611" t="str">
        <f>IF(KPI_monthly[[#This Row],[KPI Name]]&lt;&gt;"",IF(_xlfn.XLOOKUP(KPI_monthly[[#This Row],[KPI Name]],[2]!KPI_table[KPI],[2]!KPI_table[Red])&lt;&gt;0, _xlfn.XLOOKUP(KPI_monthly[[#This Row],[KPI Name]],[2]!KPI_table[KPI],[2]!KPI_table[Red]),""),"")</f>
        <v>&lt;90% or &gt;110%</v>
      </c>
      <c r="P5" s="594" t="s">
        <v>466</v>
      </c>
    </row>
    <row r="6" spans="2:16" ht="31.2">
      <c r="B6" s="589" t="s">
        <v>1333</v>
      </c>
      <c r="C6" s="305" t="s">
        <v>1281</v>
      </c>
      <c r="D6" s="327" t="str">
        <f>IFERROR(_xlfn.XLOOKUP(KPI_monthly[[#This Row],[KPI Name]],[2]!KPI_table[KPI],[2]!KPI_table[KPI Formula]), "")</f>
        <v>(Change Order Costs ÷ Original Contract Value) × 100%</v>
      </c>
      <c r="E6" s="327" t="str">
        <f>IF(KPI_monthly[[#This Row],[KPI Name]]&lt;&gt;"",IF(_xlfn.XLOOKUP(KPI_monthly[[#This Row],[KPI Name]],[2]!KPI_table[KPI],[2]!KPI_table[Notes])&lt;&gt;0, _xlfn.XLOOKUP(KPI_monthly[[#This Row],[KPI Name]],[2]!KPI_table[KPI],[2]!KPI_table[Notes]),""),"")</f>
        <v>Changes successfully managed</v>
      </c>
      <c r="F6" s="612" t="str">
        <f>IF(KPI_monthly[[#This Row],[KPI Name]]&lt;&gt;"",IF(_xlfn.XLOOKUP(KPI_monthly[[#This Row],[KPI Name]],[2]!KPI_table[KPI],[2]!KPI_table[🟢 Sample Input Data])&lt;&gt;0, _xlfn.XLOOKUP(KPI_monthly[[#This Row],[KPI Name]],[2]!KPI_table[KPI],[2]!KPI_table[🟢 Sample Input Data]),""),"")</f>
        <v>Input A: Change Orders: £22M, 
Input B: Contract: £480M</v>
      </c>
      <c r="G6" s="710">
        <v>22</v>
      </c>
      <c r="H6" s="710">
        <v>480</v>
      </c>
      <c r="I6" s="604"/>
      <c r="J6" s="604"/>
      <c r="K6" s="610" t="str">
        <f>IF(KPI_monthly[[#This Row],[KPI Name]]&lt;&gt;"", IF(_xlfn.XLOOKUP(KPI_monthly[[#This Row],[KPI Name]],[2]!KPI_table[KPI],[2]!KPI_table[Unit])&lt;&gt;"",_xlfn.XLOOKUP(KPI_monthly[[#This Row],[KPI Name]],[2]!KPI_table[KPI],[2]!KPI_table[Unit]),""),"")</f>
        <v>%</v>
      </c>
      <c r="L6" s="705" t="s">
        <v>1835</v>
      </c>
      <c r="M6" s="706" t="str">
        <f>IF(KPI_monthly[[#This Row],[KPI Name]]&lt;&gt;"",IF(_xlfn.XLOOKUP(KPI_monthly[[#This Row],[KPI Name]],[2]!KPI_table[KPI],[2]!KPI_table[Green])&lt;&gt;0, _xlfn.XLOOKUP(KPI_monthly[[#This Row],[KPI Name]],[2]!KPI_table[KPI],[2]!KPI_table[Green]),""),"")</f>
        <v>&lt;5%</v>
      </c>
      <c r="N6" s="527" t="str">
        <f>IF(KPI_monthly[[#This Row],[KPI Name]]&lt;&gt;"",IF(_xlfn.XLOOKUP(KPI_monthly[[#This Row],[KPI Name]],[2]!KPI_table[KPI],[2]!KPI_table[Amber])&lt;&gt;0, _xlfn.XLOOKUP(KPI_monthly[[#This Row],[KPI Name]],[2]!KPI_table[KPI],[2]!KPI_table[Amber]),""),"")</f>
        <v>5-10%</v>
      </c>
      <c r="O6" s="611" t="str">
        <f>IF(KPI_monthly[[#This Row],[KPI Name]]&lt;&gt;"",IF(_xlfn.XLOOKUP(KPI_monthly[[#This Row],[KPI Name]],[2]!KPI_table[KPI],[2]!KPI_table[Red])&lt;&gt;0, _xlfn.XLOOKUP(KPI_monthly[[#This Row],[KPI Name]],[2]!KPI_table[KPI],[2]!KPI_table[Red]),""),"")</f>
        <v>&gt;10%</v>
      </c>
      <c r="P6" s="593" t="s">
        <v>389</v>
      </c>
    </row>
    <row r="7" spans="2:16" ht="31.2">
      <c r="B7" s="595" t="s">
        <v>1333</v>
      </c>
      <c r="C7" s="305" t="s">
        <v>1716</v>
      </c>
      <c r="D7" s="327" t="str">
        <f>IFERROR(_xlfn.XLOOKUP(KPI_monthly[[#This Row],[KPI Name]],[2]!KPI_table[KPI],[2]!KPI_table[KPI Formula]), "")</f>
        <v>(Projects Within Approved Budget ÷ Total Projects) × 100%</v>
      </c>
      <c r="E7" s="327" t="str">
        <f>IF(KPI_monthly[[#This Row],[KPI Name]]&lt;&gt;"",IF(_xlfn.XLOOKUP(KPI_monthly[[#This Row],[KPI Name]],[2]!KPI_table[KPI],[2]!KPI_table[Notes])&lt;&gt;0, _xlfn.XLOOKUP(KPI_monthly[[#This Row],[KPI Name]],[2]!KPI_table[KPI],[2]!KPI_table[Notes]),""),"")</f>
        <v>Simpler than Earned Value, uses actual Southwark budget tracking</v>
      </c>
      <c r="F7" s="612" t="str">
        <f>IF(KPI_monthly[[#This Row],[KPI Name]]&lt;&gt;"",IF(_xlfn.XLOOKUP(KPI_monthly[[#This Row],[KPI Name]],[2]!KPI_table[KPI],[2]!KPI_table[🟢 Sample Input Data])&lt;&gt;0, _xlfn.XLOOKUP(KPI_monthly[[#This Row],[KPI Name]],[2]!KPI_table[KPI],[2]!KPI_table[🟢 Sample Input Data]),""),"")</f>
        <v>Input A: Within Budget: 43, 
Input B: Total: 54</v>
      </c>
      <c r="G7" s="710">
        <v>43</v>
      </c>
      <c r="H7" s="710">
        <v>54</v>
      </c>
      <c r="I7" s="604"/>
      <c r="J7" s="604"/>
      <c r="K7" s="610" t="str">
        <f>IF(KPI_monthly[[#This Row],[KPI Name]]&lt;&gt;"", IF(_xlfn.XLOOKUP(KPI_monthly[[#This Row],[KPI Name]],[2]!KPI_table[KPI],[2]!KPI_table[Unit])&lt;&gt;"",_xlfn.XLOOKUP(KPI_monthly[[#This Row],[KPI Name]],[2]!KPI_table[KPI],[2]!KPI_table[Unit]),""),"")</f>
        <v>%</v>
      </c>
      <c r="L7" s="705" t="s">
        <v>1962</v>
      </c>
      <c r="M7" s="706" t="str">
        <f>IF(KPI_monthly[[#This Row],[KPI Name]]&lt;&gt;"",IF(_xlfn.XLOOKUP(KPI_monthly[[#This Row],[KPI Name]],[2]!KPI_table[KPI],[2]!KPI_table[Green])&lt;&gt;0, _xlfn.XLOOKUP(KPI_monthly[[#This Row],[KPI Name]],[2]!KPI_table[KPI],[2]!KPI_table[Green]),""),"")</f>
        <v>&gt;85%</v>
      </c>
      <c r="N7" s="527" t="str">
        <f>IF(KPI_monthly[[#This Row],[KPI Name]]&lt;&gt;"",IF(_xlfn.XLOOKUP(KPI_monthly[[#This Row],[KPI Name]],[2]!KPI_table[KPI],[2]!KPI_table[Amber])&lt;&gt;0, _xlfn.XLOOKUP(KPI_monthly[[#This Row],[KPI Name]],[2]!KPI_table[KPI],[2]!KPI_table[Amber]),""),"")</f>
        <v>75-85%</v>
      </c>
      <c r="O7" s="611" t="str">
        <f>IF(KPI_monthly[[#This Row],[KPI Name]]&lt;&gt;"",IF(_xlfn.XLOOKUP(KPI_monthly[[#This Row],[KPI Name]],[2]!KPI_table[KPI],[2]!KPI_table[Red])&lt;&gt;0, _xlfn.XLOOKUP(KPI_monthly[[#This Row],[KPI Name]],[2]!KPI_table[KPI],[2]!KPI_table[Red]),""),"")</f>
        <v>&lt;75%</v>
      </c>
      <c r="P7" s="594" t="s">
        <v>466</v>
      </c>
    </row>
    <row r="8" spans="2:16" ht="31.2">
      <c r="B8" s="589" t="s">
        <v>1333</v>
      </c>
      <c r="C8" s="305" t="s">
        <v>1727</v>
      </c>
      <c r="D8" s="327" t="str">
        <f>IFERROR(_xlfn.XLOOKUP(KPI_monthly[[#This Row],[KPI Name]],[2]!KPI_table[KPI],[2]!KPI_table[KPI Formula]), "")</f>
        <v>(Unused Contingency ÷ Total Contingency Available) × 100%</v>
      </c>
      <c r="E8" s="327" t="str">
        <f>IF(KPI_monthly[[#This Row],[KPI Name]]&lt;&gt;"",IF(_xlfn.XLOOKUP(KPI_monthly[[#This Row],[KPI Name]],[2]!KPI_table[KPI],[2]!KPI_table[Notes])&lt;&gt;0, _xlfn.XLOOKUP(KPI_monthly[[#This Row],[KPI Name]],[2]!KPI_table[KPI],[2]!KPI_table[Notes]),""),"")</f>
        <v>Revised: Higher unused contingency = better financial management</v>
      </c>
      <c r="F8" s="612" t="str">
        <f>IF(KPI_monthly[[#This Row],[KPI Name]]&lt;&gt;"",IF(_xlfn.XLOOKUP(KPI_monthly[[#This Row],[KPI Name]],[2]!KPI_table[KPI],[2]!KPI_table[🟢 Sample Input Data])&lt;&gt;0, _xlfn.XLOOKUP(KPI_monthly[[#This Row],[KPI Name]],[2]!KPI_table[KPI],[2]!KPI_table[🟢 Sample Input Data]),""),"")</f>
        <v>Input A: Unused: £17M, 
Input B: Available: £35M</v>
      </c>
      <c r="G8" s="710">
        <v>17</v>
      </c>
      <c r="H8" s="710">
        <v>35</v>
      </c>
      <c r="I8" s="604"/>
      <c r="J8" s="604"/>
      <c r="K8" s="610" t="str">
        <f>IF(KPI_monthly[[#This Row],[KPI Name]]&lt;&gt;"", IF(_xlfn.XLOOKUP(KPI_monthly[[#This Row],[KPI Name]],[2]!KPI_table[KPI],[2]!KPI_table[Unit])&lt;&gt;"",_xlfn.XLOOKUP(KPI_monthly[[#This Row],[KPI Name]],[2]!KPI_table[KPI],[2]!KPI_table[Unit]),""),"")</f>
        <v>%</v>
      </c>
      <c r="L8" s="705" t="s">
        <v>1963</v>
      </c>
      <c r="M8" s="706" t="str">
        <f>IF(KPI_monthly[[#This Row],[KPI Name]]&lt;&gt;"",IF(_xlfn.XLOOKUP(KPI_monthly[[#This Row],[KPI Name]],[2]!KPI_table[KPI],[2]!KPI_table[Green])&lt;&gt;0, _xlfn.XLOOKUP(KPI_monthly[[#This Row],[KPI Name]],[2]!KPI_table[KPI],[2]!KPI_table[Green]),""),"")</f>
        <v>&gt;40%</v>
      </c>
      <c r="N8" s="527" t="str">
        <f>IF(KPI_monthly[[#This Row],[KPI Name]]&lt;&gt;"",IF(_xlfn.XLOOKUP(KPI_monthly[[#This Row],[KPI Name]],[2]!KPI_table[KPI],[2]!KPI_table[Amber])&lt;&gt;0, _xlfn.XLOOKUP(KPI_monthly[[#This Row],[KPI Name]],[2]!KPI_table[KPI],[2]!KPI_table[Amber]),""),"")</f>
        <v>25-40%</v>
      </c>
      <c r="O8" s="611" t="str">
        <f>IF(KPI_monthly[[#This Row],[KPI Name]]&lt;&gt;"",IF(_xlfn.XLOOKUP(KPI_monthly[[#This Row],[KPI Name]],[2]!KPI_table[KPI],[2]!KPI_table[Red])&lt;&gt;0, _xlfn.XLOOKUP(KPI_monthly[[#This Row],[KPI Name]],[2]!KPI_table[KPI],[2]!KPI_table[Red]),""),"")</f>
        <v>&lt;25%</v>
      </c>
      <c r="P8" s="593" t="s">
        <v>389</v>
      </c>
    </row>
    <row r="9" spans="2:16" ht="35.1" customHeight="1">
      <c r="B9" s="589" t="s">
        <v>1334</v>
      </c>
      <c r="C9" s="305" t="s">
        <v>1277</v>
      </c>
      <c r="D9" s="327" t="str">
        <f>IFERROR(_xlfn.XLOOKUP(KPI_monthly[[#This Row],[KPI Name]],[2]!KPI_table[KPI],[2]!KPI_table[KPI Formula]), "")</f>
        <v>(Defects Resolved Within SLA ÷ Total Defects Reported) × 100%</v>
      </c>
      <c r="E9" s="327" t="str">
        <f>IF(KPI_monthly[[#This Row],[KPI Name]]&lt;&gt;"",IF(_xlfn.XLOOKUP(KPI_monthly[[#This Row],[KPI Name]],[2]!KPI_table[KPI],[2]!KPI_table[Notes])&lt;&gt;0, _xlfn.XLOOKUP(KPI_monthly[[#This Row],[KPI Name]],[2]!KPI_table[KPI],[2]!KPI_table[Notes]),""),"")</f>
        <v>Defects resolved</v>
      </c>
      <c r="F9" s="612" t="str">
        <f>IF(KPI_monthly[[#This Row],[KPI Name]]&lt;&gt;"",IF(_xlfn.XLOOKUP(KPI_monthly[[#This Row],[KPI Name]],[2]!KPI_table[KPI],[2]!KPI_table[🟢 Sample Input Data])&lt;&gt;0, _xlfn.XLOOKUP(KPI_monthly[[#This Row],[KPI Name]],[2]!KPI_table[KPI],[2]!KPI_table[🟢 Sample Input Data]),""),"")</f>
        <v>Input A: Resolved: 285, 
Input B: Total: 300</v>
      </c>
      <c r="G9" s="710">
        <v>285</v>
      </c>
      <c r="H9" s="710">
        <v>300</v>
      </c>
      <c r="I9" s="604"/>
      <c r="J9" s="604"/>
      <c r="K9" s="610" t="str">
        <f>IF(KPI_monthly[[#This Row],[KPI Name]]&lt;&gt;"", IF(_xlfn.XLOOKUP(KPI_monthly[[#This Row],[KPI Name]],[2]!KPI_table[KPI],[2]!KPI_table[Unit])&lt;&gt;"",_xlfn.XLOOKUP(KPI_monthly[[#This Row],[KPI Name]],[2]!KPI_table[KPI],[2]!KPI_table[Unit]),""),"")</f>
        <v>%</v>
      </c>
      <c r="L9" s="705" t="s">
        <v>2010</v>
      </c>
      <c r="M9" s="706" t="str">
        <f>IF(KPI_monthly[[#This Row],[KPI Name]]&lt;&gt;"",IF(_xlfn.XLOOKUP(KPI_monthly[[#This Row],[KPI Name]],[2]!KPI_table[KPI],[2]!KPI_table[Green])&lt;&gt;0, _xlfn.XLOOKUP(KPI_monthly[[#This Row],[KPI Name]],[2]!KPI_table[KPI],[2]!KPI_table[Green]),""),"")</f>
        <v>&gt;95%</v>
      </c>
      <c r="N9" s="527" t="str">
        <f>IF(KPI_monthly[[#This Row],[KPI Name]]&lt;&gt;"",IF(_xlfn.XLOOKUP(KPI_monthly[[#This Row],[KPI Name]],[2]!KPI_table[KPI],[2]!KPI_table[Amber])&lt;&gt;0, _xlfn.XLOOKUP(KPI_monthly[[#This Row],[KPI Name]],[2]!KPI_table[KPI],[2]!KPI_table[Amber]),""),"")</f>
        <v>90-95%</v>
      </c>
      <c r="O9" s="611" t="str">
        <f>IF(KPI_monthly[[#This Row],[KPI Name]]&lt;&gt;"",IF(_xlfn.XLOOKUP(KPI_monthly[[#This Row],[KPI Name]],[2]!KPI_table[KPI],[2]!KPI_table[Red])&lt;&gt;0, _xlfn.XLOOKUP(KPI_monthly[[#This Row],[KPI Name]],[2]!KPI_table[KPI],[2]!KPI_table[Red]),""),"")</f>
        <v>&lt;90%</v>
      </c>
      <c r="P9" s="593" t="s">
        <v>389</v>
      </c>
    </row>
    <row r="10" spans="2:16" ht="31.2">
      <c r="B10" s="589" t="s">
        <v>1334</v>
      </c>
      <c r="C10" s="305" t="s">
        <v>1304</v>
      </c>
      <c r="D10" s="327" t="str">
        <f>IFERROR(_xlfn.XLOOKUP(KPI_monthly[[#This Row],[KPI Name]],[2]!KPI_table[KPI],[2]!KPI_table[KPI Formula]), "")</f>
        <v>(Quality Inspections Passed First Time ÷ Total Quality Inspections) × 100%</v>
      </c>
      <c r="E10" s="327" t="str">
        <f>IF(KPI_monthly[[#This Row],[KPI Name]]&lt;&gt;"",IF(_xlfn.XLOOKUP(KPI_monthly[[#This Row],[KPI Name]],[2]!KPI_table[KPI],[2]!KPI_table[Notes])&lt;&gt;0, _xlfn.XLOOKUP(KPI_monthly[[#This Row],[KPI Name]],[2]!KPI_table[KPI],[2]!KPI_table[Notes]),""),"")</f>
        <v>Quality standards met</v>
      </c>
      <c r="F10" s="612" t="str">
        <f>IF(KPI_monthly[[#This Row],[KPI Name]]&lt;&gt;"",IF(_xlfn.XLOOKUP(KPI_monthly[[#This Row],[KPI Name]],[2]!KPI_table[KPI],[2]!KPI_table[🟢 Sample Input Data])&lt;&gt;0, _xlfn.XLOOKUP(KPI_monthly[[#This Row],[KPI Name]],[2]!KPI_table[KPI],[2]!KPI_table[🟢 Sample Input Data]),""),"")</f>
        <v>Input A: First Time: 190, 
Input B: Total: 210</v>
      </c>
      <c r="G10" s="710">
        <v>0.4</v>
      </c>
      <c r="H10" s="710">
        <v>0.8</v>
      </c>
      <c r="I10" s="604"/>
      <c r="J10" s="604"/>
      <c r="K10" s="610" t="str">
        <f>IF(KPI_monthly[[#This Row],[KPI Name]]&lt;&gt;"", IF(_xlfn.XLOOKUP(KPI_monthly[[#This Row],[KPI Name]],[2]!KPI_table[KPI],[2]!KPI_table[Unit])&lt;&gt;"",_xlfn.XLOOKUP(KPI_monthly[[#This Row],[KPI Name]],[2]!KPI_table[KPI],[2]!KPI_table[Unit]),""),"")</f>
        <v>%</v>
      </c>
      <c r="L10" s="705" t="s">
        <v>1836</v>
      </c>
      <c r="M10" s="706" t="str">
        <f>IF(KPI_monthly[[#This Row],[KPI Name]]&lt;&gt;"",IF(_xlfn.XLOOKUP(KPI_monthly[[#This Row],[KPI Name]],[2]!KPI_table[KPI],[2]!KPI_table[Green])&lt;&gt;0, _xlfn.XLOOKUP(KPI_monthly[[#This Row],[KPI Name]],[2]!KPI_table[KPI],[2]!KPI_table[Green]),""),"")</f>
        <v>&gt;90%</v>
      </c>
      <c r="N10" s="527" t="str">
        <f>IF(KPI_monthly[[#This Row],[KPI Name]]&lt;&gt;"",IF(_xlfn.XLOOKUP(KPI_monthly[[#This Row],[KPI Name]],[2]!KPI_table[KPI],[2]!KPI_table[Amber])&lt;&gt;0, _xlfn.XLOOKUP(KPI_monthly[[#This Row],[KPI Name]],[2]!KPI_table[KPI],[2]!KPI_table[Amber]),""),"")</f>
        <v>85-90%</v>
      </c>
      <c r="O10" s="611" t="str">
        <f>IF(KPI_monthly[[#This Row],[KPI Name]]&lt;&gt;"",IF(_xlfn.XLOOKUP(KPI_monthly[[#This Row],[KPI Name]],[2]!KPI_table[KPI],[2]!KPI_table[Red])&lt;&gt;0, _xlfn.XLOOKUP(KPI_monthly[[#This Row],[KPI Name]],[2]!KPI_table[KPI],[2]!KPI_table[Red]),""),"")</f>
        <v>&lt;85%</v>
      </c>
      <c r="P10" s="596" t="s">
        <v>393</v>
      </c>
    </row>
    <row r="11" spans="2:16" ht="31.2">
      <c r="B11" s="589" t="s">
        <v>1334</v>
      </c>
      <c r="C11" s="305" t="s">
        <v>1349</v>
      </c>
      <c r="D11" s="327" t="str">
        <f>IFERROR(_xlfn.XLOOKUP(KPI_monthly[[#This Row],[KPI Name]],[2]!KPI_table[KPI],[2]!KPI_table[KPI Formula]), "")</f>
        <v>(Satisfied Residents ÷ Survey Respondents) × 100%</v>
      </c>
      <c r="E11" s="327" t="str">
        <f>IF(KPI_monthly[[#This Row],[KPI Name]]&lt;&gt;"",IF(_xlfn.XLOOKUP(KPI_monthly[[#This Row],[KPI Name]],[2]!KPI_table[KPI],[2]!KPI_table[Notes])&lt;&gt;0, _xlfn.XLOOKUP(KPI_monthly[[#This Row],[KPI Name]],[2]!KPI_table[KPI],[2]!KPI_table[Notes]),""),"")</f>
        <v>Resident satisfaction, based on 12-month survey</v>
      </c>
      <c r="F11" s="612" t="str">
        <f>IF(KPI_monthly[[#This Row],[KPI Name]]&lt;&gt;"",IF(_xlfn.XLOOKUP(KPI_monthly[[#This Row],[KPI Name]],[2]!KPI_table[KPI],[2]!KPI_table[🟢 Sample Input Data])&lt;&gt;0, _xlfn.XLOOKUP(KPI_monthly[[#This Row],[KPI Name]],[2]!KPI_table[KPI],[2]!KPI_table[🟢 Sample Input Data]),""),"")</f>
        <v>Input A: Satisfied: 78, 
Input B: Total: 100</v>
      </c>
      <c r="G11" s="710">
        <v>70</v>
      </c>
      <c r="H11" s="710">
        <v>50</v>
      </c>
      <c r="I11" s="604"/>
      <c r="J11" s="604"/>
      <c r="K11" s="610" t="str">
        <f>IF(KPI_monthly[[#This Row],[KPI Name]]&lt;&gt;"", IF(_xlfn.XLOOKUP(KPI_monthly[[#This Row],[KPI Name]],[2]!KPI_table[KPI],[2]!KPI_table[Unit])&lt;&gt;"",_xlfn.XLOOKUP(KPI_monthly[[#This Row],[KPI Name]],[2]!KPI_table[KPI],[2]!KPI_table[Unit]),""),"")</f>
        <v>%</v>
      </c>
      <c r="L11" s="705" t="s">
        <v>2008</v>
      </c>
      <c r="M11" s="706" t="str">
        <f>IF(KPI_monthly[[#This Row],[KPI Name]]&lt;&gt;"",IF(_xlfn.XLOOKUP(KPI_monthly[[#This Row],[KPI Name]],[2]!KPI_table[KPI],[2]!KPI_table[Green])&lt;&gt;0, _xlfn.XLOOKUP(KPI_monthly[[#This Row],[KPI Name]],[2]!KPI_table[KPI],[2]!KPI_table[Green]),""),"")</f>
        <v>&gt;80%</v>
      </c>
      <c r="N11" s="527" t="str">
        <f>IF(KPI_monthly[[#This Row],[KPI Name]]&lt;&gt;"",IF(_xlfn.XLOOKUP(KPI_monthly[[#This Row],[KPI Name]],[2]!KPI_table[KPI],[2]!KPI_table[Amber])&lt;&gt;0, _xlfn.XLOOKUP(KPI_monthly[[#This Row],[KPI Name]],[2]!KPI_table[KPI],[2]!KPI_table[Amber]),""),"")</f>
        <v>65-80%</v>
      </c>
      <c r="O11" s="611" t="str">
        <f>IF(KPI_monthly[[#This Row],[KPI Name]]&lt;&gt;"",IF(_xlfn.XLOOKUP(KPI_monthly[[#This Row],[KPI Name]],[2]!KPI_table[KPI],[2]!KPI_table[Red])&lt;&gt;0, _xlfn.XLOOKUP(KPI_monthly[[#This Row],[KPI Name]],[2]!KPI_table[KPI],[2]!KPI_table[Red]),""),"")</f>
        <v>&lt;65%</v>
      </c>
      <c r="P11" s="593" t="s">
        <v>389</v>
      </c>
    </row>
    <row r="12" spans="2:16" ht="31.2">
      <c r="B12" s="513" t="s">
        <v>1339</v>
      </c>
      <c r="C12" s="305" t="s">
        <v>1361</v>
      </c>
      <c r="D12" s="327" t="str">
        <f>IFERROR(_xlfn.XLOOKUP(KPI_monthly[[#This Row],[KPI Name]],[2]!KPI_table[KPI],[2]!KPI_table[KPI Formula]), "")</f>
        <v>(Reports Submitted On Time ÷ Total Reports Due) × 100%</v>
      </c>
      <c r="E12" s="327" t="str">
        <f>IF(KPI_monthly[[#This Row],[KPI Name]]&lt;&gt;"",IF(_xlfn.XLOOKUP(KPI_monthly[[#This Row],[KPI Name]],[2]!KPI_table[KPI],[2]!KPI_table[Notes])&lt;&gt;0, _xlfn.XLOOKUP(KPI_monthly[[#This Row],[KPI Name]],[2]!KPI_table[KPI],[2]!KPI_table[Notes]),""),"")</f>
        <v>Statutory &amp; internal reports on time, includes Cabinet reports, GLA returns</v>
      </c>
      <c r="F12" s="612" t="str">
        <f>IF(KPI_monthly[[#This Row],[KPI Name]]&lt;&gt;"",IF(_xlfn.XLOOKUP(KPI_monthly[[#This Row],[KPI Name]],[2]!KPI_table[KPI],[2]!KPI_table[🟢 Sample Input Data])&lt;&gt;0, _xlfn.XLOOKUP(KPI_monthly[[#This Row],[KPI Name]],[2]!KPI_table[KPI],[2]!KPI_table[🟢 Sample Input Data]),""),"")</f>
        <v>Input A: On time: 46, 
Input B: Total: 50</v>
      </c>
      <c r="G12" s="710"/>
      <c r="H12" s="710"/>
      <c r="I12" s="604"/>
      <c r="J12" s="604"/>
      <c r="K12" s="610" t="str">
        <f>IF(KPI_monthly[[#This Row],[KPI Name]]&lt;&gt;"", IF(_xlfn.XLOOKUP(KPI_monthly[[#This Row],[KPI Name]],[2]!KPI_table[KPI],[2]!KPI_table[Unit])&lt;&gt;"",_xlfn.XLOOKUP(KPI_monthly[[#This Row],[KPI Name]],[2]!KPI_table[KPI],[2]!KPI_table[Unit]),""),"")</f>
        <v>%</v>
      </c>
      <c r="L12" s="705" t="s">
        <v>2341</v>
      </c>
      <c r="M12" s="706" t="str">
        <f>IF(KPI_monthly[[#This Row],[KPI Name]]&lt;&gt;"",IF(_xlfn.XLOOKUP(KPI_monthly[[#This Row],[KPI Name]],[2]!KPI_table[KPI],[2]!KPI_table[Green])&lt;&gt;0, _xlfn.XLOOKUP(KPI_monthly[[#This Row],[KPI Name]],[2]!KPI_table[KPI],[2]!KPI_table[Green]),""),"")</f>
        <v>&gt;95%</v>
      </c>
      <c r="N12" s="527" t="str">
        <f>IF(KPI_monthly[[#This Row],[KPI Name]]&lt;&gt;"",IF(_xlfn.XLOOKUP(KPI_monthly[[#This Row],[KPI Name]],[2]!KPI_table[KPI],[2]!KPI_table[Amber])&lt;&gt;0, _xlfn.XLOOKUP(KPI_monthly[[#This Row],[KPI Name]],[2]!KPI_table[KPI],[2]!KPI_table[Amber]),""),"")</f>
        <v>90-95%</v>
      </c>
      <c r="O12" s="611" t="str">
        <f>IF(KPI_monthly[[#This Row],[KPI Name]]&lt;&gt;"",IF(_xlfn.XLOOKUP(KPI_monthly[[#This Row],[KPI Name]],[2]!KPI_table[KPI],[2]!KPI_table[Red])&lt;&gt;0, _xlfn.XLOOKUP(KPI_monthly[[#This Row],[KPI Name]],[2]!KPI_table[KPI],[2]!KPI_table[Red]),""),"")</f>
        <v>&lt;90%</v>
      </c>
      <c r="P12" s="711"/>
    </row>
    <row r="13" spans="2:16" ht="62.4">
      <c r="B13" s="513" t="s">
        <v>1339</v>
      </c>
      <c r="C13" s="305" t="s">
        <v>924</v>
      </c>
      <c r="D13" s="327" t="str">
        <f>IFERROR(_xlfn.XLOOKUP(KPI_monthly[[#This Row],[KPI Name]],[2]!KPI_table[KPI],[2]!KPI_table[KPI Formula]), "")</f>
        <v>((Safety × 40%) + (Quality × 30%) + (Delivery × 20%) + (Commercial × 10%))</v>
      </c>
      <c r="E13" s="327" t="str">
        <f>IF(KPI_monthly[[#This Row],[KPI Name]]&lt;&gt;"",IF(_xlfn.XLOOKUP(KPI_monthly[[#This Row],[KPI Name]],[2]!KPI_table[KPI],[2]!KPI_table[Notes])&lt;&gt;0, _xlfn.XLOOKUP(KPI_monthly[[#This Row],[KPI Name]],[2]!KPI_table[KPI],[2]!KPI_table[Notes]),""),"")</f>
        <v>Revised weighting prioritizing safety and quality for social housing</v>
      </c>
      <c r="F13" s="612" t="str">
        <f>IF(KPI_monthly[[#This Row],[KPI Name]]&lt;&gt;"",IF(_xlfn.XLOOKUP(KPI_monthly[[#This Row],[KPI Name]],[2]!KPI_table[KPI],[2]!KPI_table[🟢 Sample Input Data])&lt;&gt;0, _xlfn.XLOOKUP(KPI_monthly[[#This Row],[KPI Name]],[2]!KPI_table[KPI],[2]!KPI_table[🟢 Sample Input Data]),""),"")</f>
        <v>Input A: Safety: 92%, 
Input B: Quality: 88%, 
Input C: Delivery: 85%, 
Input D: Commercial: 80%</v>
      </c>
      <c r="G13" s="710"/>
      <c r="H13" s="710"/>
      <c r="I13" s="710"/>
      <c r="J13" s="710"/>
      <c r="K13" s="610" t="str">
        <f>IF(KPI_monthly[[#This Row],[KPI Name]]&lt;&gt;"", IF(_xlfn.XLOOKUP(KPI_monthly[[#This Row],[KPI Name]],[2]!KPI_table[KPI],[2]!KPI_table[Unit])&lt;&gt;"",_xlfn.XLOOKUP(KPI_monthly[[#This Row],[KPI Name]],[2]!KPI_table[KPI],[2]!KPI_table[Unit]),""),"")</f>
        <v/>
      </c>
      <c r="L13" s="705" t="s">
        <v>2341</v>
      </c>
      <c r="M13" s="706" t="str">
        <f>IF(KPI_monthly[[#This Row],[KPI Name]]&lt;&gt;"",IF(_xlfn.XLOOKUP(KPI_monthly[[#This Row],[KPI Name]],[2]!KPI_table[KPI],[2]!KPI_table[Green])&lt;&gt;0, _xlfn.XLOOKUP(KPI_monthly[[#This Row],[KPI Name]],[2]!KPI_table[KPI],[2]!KPI_table[Green]),""),"")</f>
        <v>&gt;85%</v>
      </c>
      <c r="N13" s="527" t="str">
        <f>IF(KPI_monthly[[#This Row],[KPI Name]]&lt;&gt;"",IF(_xlfn.XLOOKUP(KPI_monthly[[#This Row],[KPI Name]],[2]!KPI_table[KPI],[2]!KPI_table[Amber])&lt;&gt;0, _xlfn.XLOOKUP(KPI_monthly[[#This Row],[KPI Name]],[2]!KPI_table[KPI],[2]!KPI_table[Amber]),""),"")</f>
        <v>75-85%</v>
      </c>
      <c r="O13" s="611" t="str">
        <f>IF(KPI_monthly[[#This Row],[KPI Name]]&lt;&gt;"",IF(_xlfn.XLOOKUP(KPI_monthly[[#This Row],[KPI Name]],[2]!KPI_table[KPI],[2]!KPI_table[Red])&lt;&gt;0, _xlfn.XLOOKUP(KPI_monthly[[#This Row],[KPI Name]],[2]!KPI_table[KPI],[2]!KPI_table[Red]),""),"")</f>
        <v>&lt;75%</v>
      </c>
      <c r="P13" s="711"/>
    </row>
    <row r="14" spans="2:16" ht="46.8">
      <c r="B14" s="513" t="s">
        <v>768</v>
      </c>
      <c r="C14" s="305" t="s">
        <v>800</v>
      </c>
      <c r="D14" s="327" t="str">
        <f>IFERROR(_xlfn.XLOOKUP(KPI_monthly[[#This Row],[KPI Name]],[2]!KPI_table[KPI],[2]!KPI_table[KPI Formula]), "")</f>
        <v>(Programme Accident Frequency Rate ÷ Industry Benchmark Rate)</v>
      </c>
      <c r="E14" s="327" t="str">
        <f>IF(KPI_monthly[[#This Row],[KPI Name]]&lt;&gt;"",IF(_xlfn.XLOOKUP(KPI_monthly[[#This Row],[KPI Name]],[2]!KPI_table[KPI],[2]!KPI_table[Notes])&lt;&gt;0, _xlfn.XLOOKUP(KPI_monthly[[#This Row],[KPI Name]],[2]!KPI_table[KPI],[2]!KPI_table[Notes]),""),"")</f>
        <v>Safety targets met</v>
      </c>
      <c r="F14" s="612" t="str">
        <f>IF(KPI_monthly[[#This Row],[KPI Name]]&lt;&gt;"",IF(_xlfn.XLOOKUP(KPI_monthly[[#This Row],[KPI Name]],[2]!KPI_table[KPI],[2]!KPI_table[🟢 Sample Input Data])&lt;&gt;0, _xlfn.XLOOKUP(KPI_monthly[[#This Row],[KPI Name]],[2]!KPI_table[KPI],[2]!KPI_table[🟢 Sample Input Data]),""),"")</f>
        <v>Input A: Programme Accident Frequency Rate: 0.4, 
Input B: Industry Benchmark Rate: 0.8</v>
      </c>
      <c r="G14" s="710"/>
      <c r="H14" s="710"/>
      <c r="I14" s="604"/>
      <c r="J14" s="604"/>
      <c r="K14" s="610" t="str">
        <f>IF(KPI_monthly[[#This Row],[KPI Name]]&lt;&gt;"", IF(_xlfn.XLOOKUP(KPI_monthly[[#This Row],[KPI Name]],[2]!KPI_table[KPI],[2]!KPI_table[Unit])&lt;&gt;"",_xlfn.XLOOKUP(KPI_monthly[[#This Row],[KPI Name]],[2]!KPI_table[KPI],[2]!KPI_table[Unit]),""),"")</f>
        <v/>
      </c>
      <c r="L14" s="705" t="s">
        <v>2341</v>
      </c>
      <c r="M14" s="706" t="str">
        <f>IF(KPI_monthly[[#This Row],[KPI Name]]&lt;&gt;"",IF(_xlfn.XLOOKUP(KPI_monthly[[#This Row],[KPI Name]],[2]!KPI_table[KPI],[2]!KPI_table[Green])&lt;&gt;0, _xlfn.XLOOKUP(KPI_monthly[[#This Row],[KPI Name]],[2]!KPI_table[KPI],[2]!KPI_table[Green]),""),"")</f>
        <v>&lt;0.5</v>
      </c>
      <c r="N14" s="527" t="str">
        <f>IF(KPI_monthly[[#This Row],[KPI Name]]&lt;&gt;"",IF(_xlfn.XLOOKUP(KPI_monthly[[#This Row],[KPI Name]],[2]!KPI_table[KPI],[2]!KPI_table[Amber])&lt;&gt;0, _xlfn.XLOOKUP(KPI_monthly[[#This Row],[KPI Name]],[2]!KPI_table[KPI],[2]!KPI_table[Amber]),""),"")</f>
        <v>0.5-0.8</v>
      </c>
      <c r="O14" s="611" t="str">
        <f>IF(KPI_monthly[[#This Row],[KPI Name]]&lt;&gt;"",IF(_xlfn.XLOOKUP(KPI_monthly[[#This Row],[KPI Name]],[2]!KPI_table[KPI],[2]!KPI_table[Red])&lt;&gt;0, _xlfn.XLOOKUP(KPI_monthly[[#This Row],[KPI Name]],[2]!KPI_table[KPI],[2]!KPI_table[Red]),""),"")</f>
        <v>&gt;0.8</v>
      </c>
      <c r="P14" s="711"/>
    </row>
    <row r="15" spans="2:16" ht="31.2">
      <c r="B15" s="513" t="s">
        <v>1806</v>
      </c>
      <c r="C15" s="305" t="s">
        <v>1367</v>
      </c>
      <c r="D15" s="327" t="str">
        <f>IFERROR(_xlfn.XLOOKUP(KPI_monthly[[#This Row],[KPI Name]],[2]!KPI_table[KPI],[2]!KPI_table[KPI Formula]), "")</f>
        <v>(Schemes Aligned to BC Objectives ÷ Total Schemes) × 100%</v>
      </c>
      <c r="E15" s="327" t="str">
        <f>IF(KPI_monthly[[#This Row],[KPI Name]]&lt;&gt;"",IF(_xlfn.XLOOKUP(KPI_monthly[[#This Row],[KPI Name]],[2]!KPI_table[KPI],[2]!KPI_table[Notes])&lt;&gt;0, _xlfn.XLOOKUP(KPI_monthly[[#This Row],[KPI Name]],[2]!KPI_table[KPI],[2]!KPI_table[Notes]),""),"")</f>
        <v>Strategic alignment maintained, assessment against original business case</v>
      </c>
      <c r="F15" s="612" t="str">
        <f>IF(KPI_monthly[[#This Row],[KPI Name]]&lt;&gt;"",IF(_xlfn.XLOOKUP(KPI_monthly[[#This Row],[KPI Name]],[2]!KPI_table[KPI],[2]!KPI_table[🟢 Sample Input Data])&lt;&gt;0, _xlfn.XLOOKUP(KPI_monthly[[#This Row],[KPI Name]],[2]!KPI_table[KPI],[2]!KPI_table[🟢 Sample Input Data]),""),"")</f>
        <v>Input A: Schemes Aligned: 19, 
Input B: Total Schemes: 20</v>
      </c>
      <c r="G15" s="710"/>
      <c r="H15" s="710"/>
      <c r="I15" s="604"/>
      <c r="J15" s="604"/>
      <c r="K15" s="610" t="str">
        <f>IF(KPI_monthly[[#This Row],[KPI Name]]&lt;&gt;"", IF(_xlfn.XLOOKUP(KPI_monthly[[#This Row],[KPI Name]],[2]!KPI_table[KPI],[2]!KPI_table[Unit])&lt;&gt;"",_xlfn.XLOOKUP(KPI_monthly[[#This Row],[KPI Name]],[2]!KPI_table[KPI],[2]!KPI_table[Unit]),""),"")</f>
        <v>%</v>
      </c>
      <c r="L15" s="705" t="s">
        <v>2341</v>
      </c>
      <c r="M15" s="706" t="str">
        <f>IF(KPI_monthly[[#This Row],[KPI Name]]&lt;&gt;"",IF(_xlfn.XLOOKUP(KPI_monthly[[#This Row],[KPI Name]],[2]!KPI_table[KPI],[2]!KPI_table[Green])&lt;&gt;0, _xlfn.XLOOKUP(KPI_monthly[[#This Row],[KPI Name]],[2]!KPI_table[KPI],[2]!KPI_table[Green]),""),"")</f>
        <v>&gt;95%</v>
      </c>
      <c r="N15" s="527" t="str">
        <f>IF(KPI_monthly[[#This Row],[KPI Name]]&lt;&gt;"",IF(_xlfn.XLOOKUP(KPI_monthly[[#This Row],[KPI Name]],[2]!KPI_table[KPI],[2]!KPI_table[Amber])&lt;&gt;0, _xlfn.XLOOKUP(KPI_monthly[[#This Row],[KPI Name]],[2]!KPI_table[KPI],[2]!KPI_table[Amber]),""),"")</f>
        <v>85-95%</v>
      </c>
      <c r="O15" s="611" t="str">
        <f>IF(KPI_monthly[[#This Row],[KPI Name]]&lt;&gt;"",IF(_xlfn.XLOOKUP(KPI_monthly[[#This Row],[KPI Name]],[2]!KPI_table[KPI],[2]!KPI_table[Red])&lt;&gt;0, _xlfn.XLOOKUP(KPI_monthly[[#This Row],[KPI Name]],[2]!KPI_table[KPI],[2]!KPI_table[Red]),""),"")</f>
        <v>&lt;85%</v>
      </c>
      <c r="P15" s="711"/>
    </row>
    <row r="16" spans="2:16" ht="15.6">
      <c r="B16" s="513" t="s">
        <v>1333</v>
      </c>
      <c r="C16" s="305"/>
      <c r="D16" s="327" t="str">
        <f>IFERROR(_xlfn.XLOOKUP(KPI_monthly[[#This Row],[KPI Name]],[2]!KPI_table[KPI],[2]!KPI_table[KPI Formula]), "")</f>
        <v/>
      </c>
      <c r="E16" s="327" t="str">
        <f>IF(KPI_monthly[[#This Row],[KPI Name]]&lt;&gt;"",IF(_xlfn.XLOOKUP(KPI_monthly[[#This Row],[KPI Name]],[2]!KPI_table[KPI],[2]!KPI_table[Notes])&lt;&gt;0, _xlfn.XLOOKUP(KPI_monthly[[#This Row],[KPI Name]],[2]!KPI_table[KPI],[2]!KPI_table[Notes]),""),"")</f>
        <v/>
      </c>
      <c r="F16" s="612" t="str">
        <f>IF(KPI_monthly[[#This Row],[KPI Name]]&lt;&gt;"",IF(_xlfn.XLOOKUP(KPI_monthly[[#This Row],[KPI Name]],[2]!KPI_table[KPI],[2]!KPI_table[🟢 Sample Input Data])&lt;&gt;0, _xlfn.XLOOKUP(KPI_monthly[[#This Row],[KPI Name]],[2]!KPI_table[KPI],[2]!KPI_table[🟢 Sample Input Data]),""),"")</f>
        <v/>
      </c>
      <c r="G16" s="604"/>
      <c r="H16" s="604"/>
      <c r="I16" s="604"/>
      <c r="J16" s="604"/>
      <c r="K16" s="610" t="str">
        <f>IF(KPI_monthly[[#This Row],[KPI Name]]&lt;&gt;"", IF(_xlfn.XLOOKUP(KPI_monthly[[#This Row],[KPI Name]],[2]!KPI_table[KPI],[2]!KPI_table[Unit])&lt;&gt;"",_xlfn.XLOOKUP(KPI_monthly[[#This Row],[KPI Name]],[2]!KPI_table[KPI],[2]!KPI_table[Unit]),""),"")</f>
        <v/>
      </c>
      <c r="L16" s="705"/>
      <c r="M16" s="706" t="str">
        <f>IF(KPI_monthly[[#This Row],[KPI Name]]&lt;&gt;"",IF(_xlfn.XLOOKUP(KPI_monthly[[#This Row],[KPI Name]],[2]!KPI_table[KPI],[2]!KPI_table[Green])&lt;&gt;0, _xlfn.XLOOKUP(KPI_monthly[[#This Row],[KPI Name]],[2]!KPI_table[KPI],[2]!KPI_table[Green]),""),"")</f>
        <v/>
      </c>
      <c r="N16" s="527" t="str">
        <f>IF(KPI_monthly[[#This Row],[KPI Name]]&lt;&gt;"",IF(_xlfn.XLOOKUP(KPI_monthly[[#This Row],[KPI Name]],[2]!KPI_table[KPI],[2]!KPI_table[Amber])&lt;&gt;0, _xlfn.XLOOKUP(KPI_monthly[[#This Row],[KPI Name]],[2]!KPI_table[KPI],[2]!KPI_table[Amber]),""),"")</f>
        <v/>
      </c>
      <c r="O16" s="611" t="str">
        <f>IF(KPI_monthly[[#This Row],[KPI Name]]&lt;&gt;"",IF(_xlfn.XLOOKUP(KPI_monthly[[#This Row],[KPI Name]],[2]!KPI_table[KPI],[2]!KPI_table[Red])&lt;&gt;0, _xlfn.XLOOKUP(KPI_monthly[[#This Row],[KPI Name]],[2]!KPI_table[KPI],[2]!KPI_table[Red]),""),"")</f>
        <v/>
      </c>
      <c r="P16" s="711"/>
    </row>
  </sheetData>
  <dataConsolidate/>
  <dataValidations count="6">
    <dataValidation type="list" allowBlank="1" showInputMessage="1" showErrorMessage="1" sqref="C4:C8 C16" xr:uid="{ABE525C4-494F-45A7-BC00-25CC8B316536}">
      <formula1>"Programme Delivery Success Rate,Budget Performance Rate,Average Budget Variance,Budget Variance Percentage,Contingency Management Score,Cost Forecast Accuracy,Schedule Forecast Reliability,Change Order Impact,Risk Management Effectiveness"</formula1>
    </dataValidation>
    <dataValidation type="list" allowBlank="1" showInputMessage="1" showErrorMessage="1" sqref="C9:C11" xr:uid="{75F6E838-8044-43FC-AFF3-CCB5D5E5F0E7}">
      <formula1>"Defect Resolution Rate,Quality Assurance Success,Digital Process Adoption Rate,Post-Occupancy Satisfaction"</formula1>
    </dataValidation>
    <dataValidation type="list" allowBlank="1" showInputMessage="1" showErrorMessage="1" sqref="C14" xr:uid="{33AEBCC1-1913-4ECE-A5A8-4B391D801CB6}">
      <formula1>"Building Standards Compliance Rate,Regulatory Compliance Rate,Planning Permission Success Rate,Building Regulation Compliance,Safety Performance Index,Housing Delivery Delay Cost"</formula1>
    </dataValidation>
    <dataValidation type="list" allowBlank="1" showInputMessage="1" showErrorMessage="1" sqref="C15" xr:uid="{8AC9F09E-9069-45D2-9C2C-AFDFE5152DA7}">
      <formula1>"Benefits Realisation Rate,Project Outcome Alignment Index,Scope Adherence Rate,Business Case Cost Variance"</formula1>
    </dataValidation>
    <dataValidation type="list" allowBlank="1" showInputMessage="1" showErrorMessage="1" sqref="C12:C13" xr:uid="{519630F6-6176-4179-BF0E-4EE3E920A8AC}">
      <formula1>"Supplier Financial Stability,Reporting Timeliness,Contractor Performance Index,Critical Role Fill Rate,Contract Dispute Resolution"</formula1>
    </dataValidation>
    <dataValidation type="list" allowBlank="1" showInputMessage="1" showErrorMessage="1" sqref="B4:B16" xr:uid="{ACFA41BC-37F1-4B85-8256-44B60E40CBDE}">
      <formula1>Objectives</formula1>
    </dataValidation>
  </dataValidation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835F2-F1AB-4AB5-A60C-88B40B5CB6E4}">
  <sheetPr codeName="Sheet17"/>
  <dimension ref="A1:I27"/>
  <sheetViews>
    <sheetView workbookViewId="0">
      <selection activeCell="I27" sqref="D3:I27"/>
    </sheetView>
  </sheetViews>
  <sheetFormatPr defaultRowHeight="13.2"/>
  <cols>
    <col min="1" max="1" width="19.109375" customWidth="1"/>
    <col min="2" max="2" width="18.33203125" customWidth="1"/>
    <col min="3" max="3" width="14.109375" customWidth="1"/>
    <col min="4" max="4" width="17.33203125" customWidth="1"/>
    <col min="5" max="5" width="15" customWidth="1"/>
    <col min="6" max="6" width="15.109375" customWidth="1"/>
    <col min="7" max="7" width="17" customWidth="1"/>
    <col min="9" max="9" width="16.6640625" customWidth="1"/>
  </cols>
  <sheetData>
    <row r="1" spans="1:9" ht="22.8">
      <c r="A1" s="867" t="s">
        <v>1152</v>
      </c>
      <c r="B1" s="868"/>
      <c r="C1" s="868"/>
      <c r="D1" s="868"/>
      <c r="E1" s="868"/>
      <c r="F1" s="868"/>
      <c r="G1" s="868"/>
      <c r="H1" s="868"/>
      <c r="I1" s="868"/>
    </row>
    <row r="2" spans="1:9" ht="22.8">
      <c r="A2" s="266"/>
      <c r="B2" s="267"/>
      <c r="C2" s="267"/>
      <c r="D2" s="267"/>
      <c r="E2" s="267"/>
      <c r="F2" s="267"/>
      <c r="G2" s="267"/>
      <c r="H2" s="267"/>
      <c r="I2" s="267"/>
    </row>
    <row r="3" spans="1:9" ht="27.6">
      <c r="A3" s="250" t="s">
        <v>437</v>
      </c>
      <c r="B3" s="250" t="s">
        <v>698</v>
      </c>
      <c r="C3" s="250" t="s">
        <v>456</v>
      </c>
      <c r="D3" s="250" t="s">
        <v>457</v>
      </c>
      <c r="E3" s="250" t="s">
        <v>458</v>
      </c>
      <c r="F3" s="250" t="s">
        <v>459</v>
      </c>
      <c r="G3" s="250" t="s">
        <v>105</v>
      </c>
      <c r="H3" s="250" t="s">
        <v>461</v>
      </c>
      <c r="I3" s="250" t="s">
        <v>847</v>
      </c>
    </row>
    <row r="4" spans="1:9" ht="39.6">
      <c r="A4" s="136" t="s">
        <v>36</v>
      </c>
      <c r="B4" s="107" t="s">
        <v>1000</v>
      </c>
      <c r="C4" s="245">
        <v>2.5000000000000001E-2</v>
      </c>
      <c r="D4" s="221" t="s">
        <v>388</v>
      </c>
      <c r="E4" s="221" t="s">
        <v>1159</v>
      </c>
      <c r="F4" s="221" t="s">
        <v>1160</v>
      </c>
      <c r="G4" s="247" t="s">
        <v>786</v>
      </c>
      <c r="H4" s="107" t="s">
        <v>43</v>
      </c>
      <c r="I4" s="255" t="s">
        <v>1030</v>
      </c>
    </row>
    <row r="5" spans="1:9" ht="39.6">
      <c r="A5" s="136" t="s">
        <v>36</v>
      </c>
      <c r="B5" s="107" t="s">
        <v>1001</v>
      </c>
      <c r="C5" s="245">
        <v>2.1000000000000001E-2</v>
      </c>
      <c r="D5" s="221" t="s">
        <v>992</v>
      </c>
      <c r="E5" s="221" t="s">
        <v>1161</v>
      </c>
      <c r="F5" s="221" t="s">
        <v>465</v>
      </c>
      <c r="G5" s="248" t="s">
        <v>798</v>
      </c>
      <c r="H5" s="107" t="s">
        <v>1002</v>
      </c>
      <c r="I5" s="258" t="s">
        <v>1031</v>
      </c>
    </row>
    <row r="6" spans="1:9" ht="39.6">
      <c r="A6" s="136" t="s">
        <v>36</v>
      </c>
      <c r="B6" s="107" t="s">
        <v>1003</v>
      </c>
      <c r="C6" s="245">
        <v>0.05</v>
      </c>
      <c r="D6" s="221" t="s">
        <v>992</v>
      </c>
      <c r="E6" s="221" t="s">
        <v>1161</v>
      </c>
      <c r="F6" s="221" t="s">
        <v>465</v>
      </c>
      <c r="G6" s="247" t="s">
        <v>786</v>
      </c>
      <c r="H6" s="107" t="s">
        <v>26</v>
      </c>
      <c r="I6" s="256" t="s">
        <v>1032</v>
      </c>
    </row>
    <row r="7" spans="1:9" ht="26.4">
      <c r="A7" s="136" t="s">
        <v>36</v>
      </c>
      <c r="B7" s="107" t="s">
        <v>1004</v>
      </c>
      <c r="C7" s="221" t="s">
        <v>871</v>
      </c>
      <c r="D7" s="221" t="s">
        <v>1162</v>
      </c>
      <c r="E7" s="221" t="s">
        <v>1163</v>
      </c>
      <c r="F7" s="221" t="s">
        <v>1164</v>
      </c>
      <c r="G7" s="248" t="s">
        <v>798</v>
      </c>
      <c r="H7" s="107" t="s">
        <v>1002</v>
      </c>
      <c r="I7" s="259" t="s">
        <v>873</v>
      </c>
    </row>
    <row r="8" spans="1:9" ht="26.4">
      <c r="A8" s="136" t="s">
        <v>36</v>
      </c>
      <c r="B8" s="107" t="s">
        <v>1005</v>
      </c>
      <c r="C8" s="221" t="s">
        <v>782</v>
      </c>
      <c r="D8" s="221" t="s">
        <v>788</v>
      </c>
      <c r="E8" s="268">
        <v>45811</v>
      </c>
      <c r="F8" s="221" t="s">
        <v>476</v>
      </c>
      <c r="G8" s="107" t="s">
        <v>940</v>
      </c>
      <c r="H8" s="107" t="s">
        <v>43</v>
      </c>
      <c r="I8" s="252" t="s">
        <v>882</v>
      </c>
    </row>
    <row r="9" spans="1:9" ht="39.6">
      <c r="A9" s="136" t="s">
        <v>36</v>
      </c>
      <c r="B9" s="107" t="s">
        <v>1006</v>
      </c>
      <c r="C9" s="221" t="s">
        <v>782</v>
      </c>
      <c r="D9" s="221" t="s">
        <v>1165</v>
      </c>
      <c r="E9" s="221" t="s">
        <v>1166</v>
      </c>
      <c r="F9" s="221" t="s">
        <v>1167</v>
      </c>
      <c r="G9" s="107" t="s">
        <v>940</v>
      </c>
      <c r="H9" s="107" t="s">
        <v>43</v>
      </c>
      <c r="I9" s="252" t="s">
        <v>1033</v>
      </c>
    </row>
    <row r="10" spans="1:9" ht="26.4">
      <c r="A10" s="136" t="s">
        <v>32</v>
      </c>
      <c r="B10" s="107" t="s">
        <v>1007</v>
      </c>
      <c r="C10" s="221" t="s">
        <v>1008</v>
      </c>
      <c r="D10" s="221">
        <v>0</v>
      </c>
      <c r="E10" s="221" t="s">
        <v>1168</v>
      </c>
      <c r="F10" s="221" t="s">
        <v>1169</v>
      </c>
      <c r="G10" s="247" t="s">
        <v>786</v>
      </c>
      <c r="H10" s="107" t="s">
        <v>1009</v>
      </c>
      <c r="I10" s="257" t="s">
        <v>879</v>
      </c>
    </row>
    <row r="11" spans="1:9" ht="26.4">
      <c r="A11" s="136" t="s">
        <v>32</v>
      </c>
      <c r="B11" s="107" t="s">
        <v>1010</v>
      </c>
      <c r="C11" s="221">
        <v>12</v>
      </c>
      <c r="D11" s="221" t="s">
        <v>788</v>
      </c>
      <c r="E11" s="268">
        <v>45811</v>
      </c>
      <c r="F11" s="221" t="s">
        <v>476</v>
      </c>
      <c r="G11" s="247" t="s">
        <v>786</v>
      </c>
      <c r="H11" s="107" t="s">
        <v>29</v>
      </c>
      <c r="I11" s="256" t="s">
        <v>882</v>
      </c>
    </row>
    <row r="12" spans="1:9" ht="39.6">
      <c r="A12" s="136" t="s">
        <v>32</v>
      </c>
      <c r="B12" s="107" t="s">
        <v>1011</v>
      </c>
      <c r="C12" s="246">
        <v>0.94</v>
      </c>
      <c r="D12" s="246">
        <v>1</v>
      </c>
      <c r="E12" s="221" t="s">
        <v>1170</v>
      </c>
      <c r="F12" s="221" t="s">
        <v>1171</v>
      </c>
      <c r="G12" s="247" t="s">
        <v>786</v>
      </c>
      <c r="H12" s="107" t="s">
        <v>1009</v>
      </c>
      <c r="I12" s="256" t="s">
        <v>885</v>
      </c>
    </row>
    <row r="13" spans="1:9" ht="26.4">
      <c r="A13" s="136" t="s">
        <v>24</v>
      </c>
      <c r="B13" s="107" t="s">
        <v>1012</v>
      </c>
      <c r="C13" s="221">
        <v>4</v>
      </c>
      <c r="D13" s="221" t="s">
        <v>766</v>
      </c>
      <c r="E13" s="268">
        <v>45749</v>
      </c>
      <c r="F13" s="221" t="s">
        <v>1172</v>
      </c>
      <c r="G13" s="247" t="s">
        <v>786</v>
      </c>
      <c r="H13" s="107" t="s">
        <v>29</v>
      </c>
      <c r="I13" s="256" t="s">
        <v>889</v>
      </c>
    </row>
    <row r="14" spans="1:9" ht="52.8">
      <c r="A14" s="136" t="s">
        <v>24</v>
      </c>
      <c r="B14" s="107" t="s">
        <v>1013</v>
      </c>
      <c r="C14" s="246">
        <v>0.87</v>
      </c>
      <c r="D14" s="221" t="s">
        <v>909</v>
      </c>
      <c r="E14" s="221" t="s">
        <v>1173</v>
      </c>
      <c r="F14" s="221" t="s">
        <v>1174</v>
      </c>
      <c r="G14" s="247" t="s">
        <v>786</v>
      </c>
      <c r="H14" s="107" t="s">
        <v>1014</v>
      </c>
      <c r="I14" s="257" t="s">
        <v>929</v>
      </c>
    </row>
    <row r="15" spans="1:9" ht="39.6">
      <c r="A15" s="136" t="s">
        <v>24</v>
      </c>
      <c r="B15" s="107" t="s">
        <v>1015</v>
      </c>
      <c r="C15" s="221" t="s">
        <v>932</v>
      </c>
      <c r="D15" s="221" t="s">
        <v>1175</v>
      </c>
      <c r="E15" s="221" t="s">
        <v>1176</v>
      </c>
      <c r="F15" s="221" t="s">
        <v>1177</v>
      </c>
      <c r="G15" s="247" t="s">
        <v>786</v>
      </c>
      <c r="H15" s="107" t="s">
        <v>1014</v>
      </c>
      <c r="I15" s="256" t="s">
        <v>1034</v>
      </c>
    </row>
    <row r="16" spans="1:9" ht="39.6">
      <c r="A16" s="136" t="s">
        <v>9</v>
      </c>
      <c r="B16" s="107" t="s">
        <v>1016</v>
      </c>
      <c r="C16" s="221">
        <v>0.95</v>
      </c>
      <c r="D16" s="221" t="s">
        <v>856</v>
      </c>
      <c r="E16" s="221" t="s">
        <v>1178</v>
      </c>
      <c r="F16" s="221" t="s">
        <v>1179</v>
      </c>
      <c r="G16" s="248" t="s">
        <v>798</v>
      </c>
      <c r="H16" s="107" t="s">
        <v>1017</v>
      </c>
      <c r="I16" s="259" t="s">
        <v>858</v>
      </c>
    </row>
    <row r="17" spans="1:9" ht="39.6">
      <c r="A17" s="136" t="s">
        <v>9</v>
      </c>
      <c r="B17" s="107" t="s">
        <v>1018</v>
      </c>
      <c r="C17" s="221">
        <v>3</v>
      </c>
      <c r="D17" s="221" t="s">
        <v>766</v>
      </c>
      <c r="E17" s="268">
        <v>45749</v>
      </c>
      <c r="F17" s="221" t="s">
        <v>1172</v>
      </c>
      <c r="G17" s="248" t="s">
        <v>798</v>
      </c>
      <c r="H17" s="107" t="s">
        <v>43</v>
      </c>
      <c r="I17" s="259" t="s">
        <v>889</v>
      </c>
    </row>
    <row r="18" spans="1:9" ht="39.6">
      <c r="A18" s="136" t="s">
        <v>9</v>
      </c>
      <c r="B18" s="107" t="s">
        <v>1019</v>
      </c>
      <c r="C18" s="246">
        <v>0.85</v>
      </c>
      <c r="D18" s="221" t="s">
        <v>1180</v>
      </c>
      <c r="E18" s="221" t="s">
        <v>1181</v>
      </c>
      <c r="F18" s="221" t="s">
        <v>1171</v>
      </c>
      <c r="G18" s="247" t="s">
        <v>786</v>
      </c>
      <c r="H18" s="107" t="s">
        <v>43</v>
      </c>
      <c r="I18" s="256" t="s">
        <v>922</v>
      </c>
    </row>
    <row r="19" spans="1:9" ht="39.6">
      <c r="A19" s="136" t="s">
        <v>9</v>
      </c>
      <c r="B19" s="107" t="s">
        <v>1020</v>
      </c>
      <c r="C19" s="221" t="s">
        <v>782</v>
      </c>
      <c r="D19" s="221" t="s">
        <v>1165</v>
      </c>
      <c r="E19" s="221" t="s">
        <v>1166</v>
      </c>
      <c r="F19" s="221" t="s">
        <v>1167</v>
      </c>
      <c r="G19" s="107" t="s">
        <v>940</v>
      </c>
      <c r="H19" s="107" t="s">
        <v>1017</v>
      </c>
      <c r="I19" s="252" t="s">
        <v>1035</v>
      </c>
    </row>
    <row r="20" spans="1:9" ht="39.6">
      <c r="A20" s="136" t="s">
        <v>9</v>
      </c>
      <c r="B20" s="107" t="s">
        <v>1021</v>
      </c>
      <c r="C20" s="221" t="s">
        <v>782</v>
      </c>
      <c r="D20" s="221" t="s">
        <v>1182</v>
      </c>
      <c r="E20" s="221" t="s">
        <v>1183</v>
      </c>
      <c r="F20" s="221" t="s">
        <v>1184</v>
      </c>
      <c r="G20" s="107" t="s">
        <v>940</v>
      </c>
      <c r="H20" s="107" t="s">
        <v>1017</v>
      </c>
      <c r="I20" s="252" t="s">
        <v>986</v>
      </c>
    </row>
    <row r="21" spans="1:9" ht="39.6">
      <c r="A21" s="136" t="s">
        <v>40</v>
      </c>
      <c r="B21" s="107" t="s">
        <v>1022</v>
      </c>
      <c r="C21" s="246">
        <v>0.82</v>
      </c>
      <c r="D21" s="221" t="s">
        <v>495</v>
      </c>
      <c r="E21" s="221" t="s">
        <v>1185</v>
      </c>
      <c r="F21" s="221" t="s">
        <v>1186</v>
      </c>
      <c r="G21" s="247" t="s">
        <v>786</v>
      </c>
      <c r="H21" s="107" t="s">
        <v>1023</v>
      </c>
      <c r="I21" s="256" t="s">
        <v>906</v>
      </c>
    </row>
    <row r="22" spans="1:9" ht="39.6">
      <c r="A22" s="136" t="s">
        <v>40</v>
      </c>
      <c r="B22" s="107" t="s">
        <v>1024</v>
      </c>
      <c r="C22" s="246">
        <v>0.15</v>
      </c>
      <c r="D22" s="221" t="s">
        <v>387</v>
      </c>
      <c r="E22" s="221" t="s">
        <v>1187</v>
      </c>
      <c r="F22" s="221" t="s">
        <v>1188</v>
      </c>
      <c r="G22" s="247" t="s">
        <v>786</v>
      </c>
      <c r="H22" s="107" t="s">
        <v>1023</v>
      </c>
      <c r="I22" s="256" t="s">
        <v>1036</v>
      </c>
    </row>
    <row r="23" spans="1:9" ht="39.6">
      <c r="A23" s="136" t="s">
        <v>40</v>
      </c>
      <c r="B23" s="107" t="s">
        <v>1025</v>
      </c>
      <c r="C23" s="221">
        <v>4</v>
      </c>
      <c r="D23" s="221" t="s">
        <v>766</v>
      </c>
      <c r="E23" s="268">
        <v>45749</v>
      </c>
      <c r="F23" s="221" t="s">
        <v>1172</v>
      </c>
      <c r="G23" s="247" t="s">
        <v>786</v>
      </c>
      <c r="H23" s="107" t="s">
        <v>41</v>
      </c>
      <c r="I23" s="256" t="s">
        <v>889</v>
      </c>
    </row>
    <row r="24" spans="1:9" ht="39.6">
      <c r="A24" s="136" t="s">
        <v>726</v>
      </c>
      <c r="B24" s="107" t="s">
        <v>1026</v>
      </c>
      <c r="C24" s="221" t="s">
        <v>892</v>
      </c>
      <c r="D24" s="221" t="s">
        <v>1189</v>
      </c>
      <c r="E24" s="221" t="s">
        <v>1190</v>
      </c>
      <c r="F24" s="221" t="s">
        <v>1191</v>
      </c>
      <c r="G24" s="247" t="s">
        <v>786</v>
      </c>
      <c r="H24" s="107" t="s">
        <v>1017</v>
      </c>
      <c r="I24" s="257" t="s">
        <v>1037</v>
      </c>
    </row>
    <row r="25" spans="1:9" ht="39.6">
      <c r="A25" s="136" t="s">
        <v>897</v>
      </c>
      <c r="B25" s="107" t="s">
        <v>1027</v>
      </c>
      <c r="C25" s="221" t="s">
        <v>898</v>
      </c>
      <c r="D25" s="221">
        <v>0</v>
      </c>
      <c r="E25" s="221">
        <v>1</v>
      </c>
      <c r="F25" s="221" t="s">
        <v>1192</v>
      </c>
      <c r="G25" s="248" t="s">
        <v>798</v>
      </c>
      <c r="H25" s="107" t="s">
        <v>1017</v>
      </c>
      <c r="I25" s="259" t="s">
        <v>1038</v>
      </c>
    </row>
    <row r="26" spans="1:9" ht="39.6">
      <c r="A26" s="136" t="s">
        <v>969</v>
      </c>
      <c r="B26" s="107" t="s">
        <v>1028</v>
      </c>
      <c r="C26" s="221" t="s">
        <v>782</v>
      </c>
      <c r="D26" s="221" t="s">
        <v>909</v>
      </c>
      <c r="E26" s="221" t="s">
        <v>1173</v>
      </c>
      <c r="F26" s="221" t="s">
        <v>1174</v>
      </c>
      <c r="G26" s="107" t="s">
        <v>940</v>
      </c>
      <c r="H26" s="107" t="s">
        <v>43</v>
      </c>
      <c r="I26" s="253" t="s">
        <v>971</v>
      </c>
    </row>
    <row r="27" spans="1:9" ht="52.8">
      <c r="A27" s="136" t="s">
        <v>969</v>
      </c>
      <c r="B27" s="107" t="s">
        <v>1029</v>
      </c>
      <c r="C27" s="221" t="s">
        <v>782</v>
      </c>
      <c r="D27" s="221" t="s">
        <v>766</v>
      </c>
      <c r="E27" s="268">
        <v>45749</v>
      </c>
      <c r="F27" s="221" t="s">
        <v>1172</v>
      </c>
      <c r="G27" s="107" t="s">
        <v>940</v>
      </c>
      <c r="H27" s="107" t="s">
        <v>43</v>
      </c>
      <c r="I27" s="254" t="s">
        <v>889</v>
      </c>
    </row>
  </sheetData>
  <mergeCells count="1">
    <mergeCell ref="A1:I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B1480-0FE8-4039-A861-CB17EE6D80ED}">
  <sheetPr codeName="Sheet18"/>
  <dimension ref="A1:Z86"/>
  <sheetViews>
    <sheetView topLeftCell="C51" zoomScale="110" zoomScaleNormal="110" workbookViewId="0">
      <selection activeCell="A47" sqref="A47:D53"/>
    </sheetView>
  </sheetViews>
  <sheetFormatPr defaultRowHeight="13.2"/>
  <cols>
    <col min="1" max="1" width="41.6640625" bestFit="1" customWidth="1"/>
    <col min="2" max="2" width="29.33203125" bestFit="1" customWidth="1"/>
    <col min="3" max="3" width="22.109375" bestFit="1" customWidth="1"/>
    <col min="4" max="4" width="20.109375" bestFit="1" customWidth="1"/>
    <col min="5" max="5" width="24.109375" bestFit="1" customWidth="1"/>
    <col min="6" max="6" width="24.88671875" bestFit="1" customWidth="1"/>
    <col min="7" max="7" width="16.33203125" bestFit="1" customWidth="1"/>
    <col min="8" max="8" width="14.109375" customWidth="1"/>
    <col min="9" max="9" width="32.109375" customWidth="1"/>
    <col min="10" max="10" width="51.6640625" bestFit="1" customWidth="1"/>
    <col min="11" max="11" width="43.109375" hidden="1" customWidth="1"/>
    <col min="12" max="12" width="24" hidden="1" customWidth="1"/>
    <col min="13" max="13" width="33.33203125" hidden="1" customWidth="1"/>
    <col min="14" max="14" width="22.109375" hidden="1" customWidth="1"/>
    <col min="15" max="15" width="20.33203125" hidden="1" customWidth="1"/>
    <col min="16" max="16" width="0" hidden="1" customWidth="1"/>
    <col min="17" max="17" width="17.33203125" hidden="1" customWidth="1"/>
    <col min="19" max="19" width="19.88671875" customWidth="1"/>
    <col min="20" max="20" width="29.109375" customWidth="1"/>
    <col min="21" max="21" width="51.6640625" customWidth="1"/>
    <col min="22" max="22" width="29.88671875" customWidth="1"/>
    <col min="23" max="23" width="31.6640625" customWidth="1"/>
    <col min="24" max="24" width="28.88671875" customWidth="1"/>
  </cols>
  <sheetData>
    <row r="1" spans="1:26" ht="28.2">
      <c r="A1" s="906" t="s">
        <v>536</v>
      </c>
      <c r="B1" s="906"/>
      <c r="C1" s="906"/>
      <c r="D1" s="906"/>
      <c r="E1" s="906"/>
      <c r="F1" s="906"/>
      <c r="G1" s="906"/>
      <c r="H1" s="906"/>
      <c r="I1" s="906"/>
      <c r="J1" s="6"/>
      <c r="K1" s="167" t="s">
        <v>437</v>
      </c>
      <c r="L1" s="167" t="s">
        <v>454</v>
      </c>
      <c r="M1" s="167" t="s">
        <v>538</v>
      </c>
      <c r="N1" s="167" t="s">
        <v>456</v>
      </c>
      <c r="O1" s="167" t="s">
        <v>539</v>
      </c>
      <c r="P1" s="167" t="s">
        <v>105</v>
      </c>
      <c r="Q1" s="167" t="s">
        <v>461</v>
      </c>
      <c r="S1" s="923" t="s">
        <v>614</v>
      </c>
      <c r="T1" s="923"/>
      <c r="U1" s="923"/>
      <c r="V1" s="923"/>
      <c r="W1" s="923"/>
      <c r="X1" s="923"/>
    </row>
    <row r="2" spans="1:26" ht="14.25" customHeight="1">
      <c r="A2" s="222"/>
      <c r="B2" s="223"/>
      <c r="C2" s="223"/>
      <c r="D2" s="223"/>
      <c r="E2" s="223"/>
      <c r="F2" s="223"/>
      <c r="G2" s="223"/>
      <c r="H2" s="223"/>
      <c r="I2" s="223"/>
      <c r="J2" s="6"/>
      <c r="K2" s="169" t="s">
        <v>9</v>
      </c>
      <c r="L2" s="913" t="s">
        <v>645</v>
      </c>
      <c r="M2" s="913" t="s">
        <v>685</v>
      </c>
      <c r="N2" s="914" t="s">
        <v>647</v>
      </c>
      <c r="O2" s="171" t="s">
        <v>648</v>
      </c>
      <c r="P2" s="915" t="s">
        <v>651</v>
      </c>
      <c r="Q2" s="913" t="s">
        <v>686</v>
      </c>
      <c r="S2" s="182" t="s">
        <v>437</v>
      </c>
      <c r="T2" s="182" t="s">
        <v>438</v>
      </c>
      <c r="U2" s="182" t="s">
        <v>615</v>
      </c>
      <c r="V2" s="182" t="s">
        <v>616</v>
      </c>
      <c r="W2" s="182" t="s">
        <v>617</v>
      </c>
      <c r="X2" s="182" t="s">
        <v>618</v>
      </c>
      <c r="Y2" s="200"/>
      <c r="Z2" s="200"/>
    </row>
    <row r="3" spans="1:26" ht="27.6">
      <c r="A3" s="907" t="s">
        <v>537</v>
      </c>
      <c r="B3" s="907"/>
      <c r="C3" s="907"/>
      <c r="D3" s="907"/>
      <c r="E3" s="907"/>
      <c r="F3" s="907"/>
      <c r="G3" s="907"/>
      <c r="H3" s="907"/>
      <c r="I3" s="907"/>
      <c r="J3" s="6"/>
      <c r="K3" s="170" t="s">
        <v>684</v>
      </c>
      <c r="L3" s="913"/>
      <c r="M3" s="913"/>
      <c r="N3" s="914"/>
      <c r="O3" s="171" t="s">
        <v>649</v>
      </c>
      <c r="P3" s="915"/>
      <c r="Q3" s="913"/>
      <c r="S3" s="900" t="s">
        <v>36</v>
      </c>
      <c r="T3" s="902" t="s">
        <v>441</v>
      </c>
      <c r="U3" s="193" t="s">
        <v>442</v>
      </c>
      <c r="V3" s="904" t="s">
        <v>443</v>
      </c>
      <c r="W3" s="8" t="s">
        <v>620</v>
      </c>
      <c r="X3" s="187" t="s">
        <v>622</v>
      </c>
      <c r="Y3" s="202"/>
      <c r="Z3" s="202"/>
    </row>
    <row r="4" spans="1:26" ht="21" customHeight="1">
      <c r="A4" s="237" t="s">
        <v>437</v>
      </c>
      <c r="B4" s="237" t="s">
        <v>698</v>
      </c>
      <c r="C4" s="237" t="s">
        <v>538</v>
      </c>
      <c r="D4" s="237" t="s">
        <v>456</v>
      </c>
      <c r="E4" s="237" t="s">
        <v>539</v>
      </c>
      <c r="F4" s="237" t="s">
        <v>105</v>
      </c>
      <c r="G4" s="238" t="s">
        <v>700</v>
      </c>
      <c r="H4" s="238" t="s">
        <v>701</v>
      </c>
      <c r="I4" s="237" t="s">
        <v>461</v>
      </c>
      <c r="J4" s="6"/>
      <c r="K4" s="170"/>
      <c r="L4" s="913"/>
      <c r="M4" s="913"/>
      <c r="N4" s="914"/>
      <c r="O4" s="171" t="s">
        <v>650</v>
      </c>
      <c r="P4" s="915"/>
      <c r="Q4" s="913"/>
      <c r="S4" s="901"/>
      <c r="T4" s="903"/>
      <c r="U4" s="8" t="s">
        <v>619</v>
      </c>
      <c r="V4" s="905"/>
      <c r="W4" s="8" t="s">
        <v>621</v>
      </c>
      <c r="X4" s="8" t="s">
        <v>623</v>
      </c>
      <c r="Y4" s="6"/>
      <c r="Z4" s="6"/>
    </row>
    <row r="5" spans="1:26" ht="13.8">
      <c r="A5" s="169" t="s">
        <v>36</v>
      </c>
      <c r="B5" s="872" t="s">
        <v>540</v>
      </c>
      <c r="C5" s="872" t="s">
        <v>541</v>
      </c>
      <c r="D5" s="873">
        <v>2.5000000000000001E-2</v>
      </c>
      <c r="E5" s="8" t="s">
        <v>542</v>
      </c>
      <c r="F5" s="874" t="s">
        <v>545</v>
      </c>
      <c r="G5" s="927" t="s">
        <v>441</v>
      </c>
      <c r="H5" s="927" t="s">
        <v>622</v>
      </c>
      <c r="I5" s="872" t="s">
        <v>43</v>
      </c>
      <c r="J5" s="6"/>
      <c r="K5" s="172" t="s">
        <v>9</v>
      </c>
      <c r="L5" s="888" t="s">
        <v>645</v>
      </c>
      <c r="M5" s="888" t="s">
        <v>646</v>
      </c>
      <c r="N5" s="889" t="s">
        <v>647</v>
      </c>
      <c r="O5" s="173" t="s">
        <v>648</v>
      </c>
      <c r="P5" s="891" t="s">
        <v>651</v>
      </c>
      <c r="Q5" s="888" t="s">
        <v>652</v>
      </c>
      <c r="S5" s="881" t="s">
        <v>24</v>
      </c>
      <c r="T5" s="883" t="s">
        <v>444</v>
      </c>
      <c r="U5" s="194" t="s">
        <v>445</v>
      </c>
      <c r="V5" s="885" t="s">
        <v>446</v>
      </c>
      <c r="W5" s="184" t="s">
        <v>625</v>
      </c>
      <c r="X5" s="195" t="s">
        <v>627</v>
      </c>
      <c r="Y5" s="203"/>
      <c r="Z5" s="203"/>
    </row>
    <row r="6" spans="1:26" ht="27.6">
      <c r="A6" s="8" t="s">
        <v>463</v>
      </c>
      <c r="B6" s="872"/>
      <c r="C6" s="872"/>
      <c r="D6" s="873"/>
      <c r="E6" s="8" t="s">
        <v>543</v>
      </c>
      <c r="F6" s="874"/>
      <c r="G6" s="928"/>
      <c r="H6" s="928"/>
      <c r="I6" s="872"/>
      <c r="J6" s="6"/>
      <c r="K6" s="174" t="s">
        <v>644</v>
      </c>
      <c r="L6" s="887"/>
      <c r="M6" s="887"/>
      <c r="N6" s="890"/>
      <c r="O6" s="176" t="s">
        <v>649</v>
      </c>
      <c r="P6" s="892"/>
      <c r="Q6" s="887"/>
      <c r="S6" s="882"/>
      <c r="T6" s="884"/>
      <c r="U6" s="184" t="s">
        <v>624</v>
      </c>
      <c r="V6" s="886"/>
      <c r="W6" s="184" t="s">
        <v>626</v>
      </c>
      <c r="X6" s="184" t="s">
        <v>628</v>
      </c>
      <c r="Y6" s="201"/>
      <c r="Z6" s="201"/>
    </row>
    <row r="7" spans="1:26" ht="13.8">
      <c r="A7" s="8"/>
      <c r="B7" s="872"/>
      <c r="C7" s="872"/>
      <c r="D7" s="873"/>
      <c r="E7" s="8" t="s">
        <v>544</v>
      </c>
      <c r="F7" s="874"/>
      <c r="G7" s="929"/>
      <c r="H7" s="929"/>
      <c r="I7" s="872"/>
      <c r="J7" s="6"/>
      <c r="K7" s="174"/>
      <c r="L7" s="887"/>
      <c r="M7" s="887"/>
      <c r="N7" s="890"/>
      <c r="O7" s="176" t="s">
        <v>650</v>
      </c>
      <c r="P7" s="892"/>
      <c r="Q7" s="887"/>
      <c r="S7" s="900" t="s">
        <v>32</v>
      </c>
      <c r="T7" s="910" t="s">
        <v>444</v>
      </c>
      <c r="U7" s="193" t="s">
        <v>447</v>
      </c>
      <c r="V7" s="904" t="s">
        <v>448</v>
      </c>
      <c r="W7" s="8" t="s">
        <v>630</v>
      </c>
      <c r="X7" s="188" t="s">
        <v>632</v>
      </c>
      <c r="Y7" s="204"/>
      <c r="Z7" s="204"/>
    </row>
    <row r="8" spans="1:26" ht="19.5" customHeight="1">
      <c r="A8" s="169" t="s">
        <v>36</v>
      </c>
      <c r="B8" s="875" t="s">
        <v>546</v>
      </c>
      <c r="C8" s="875" t="s">
        <v>547</v>
      </c>
      <c r="D8" s="876" t="s">
        <v>470</v>
      </c>
      <c r="E8" s="184" t="s">
        <v>548</v>
      </c>
      <c r="F8" s="877" t="s">
        <v>551</v>
      </c>
      <c r="G8" s="930" t="s">
        <v>441</v>
      </c>
      <c r="H8" s="930" t="s">
        <v>622</v>
      </c>
      <c r="I8" s="875" t="s">
        <v>26</v>
      </c>
      <c r="J8" s="6"/>
      <c r="K8" s="169" t="s">
        <v>9</v>
      </c>
      <c r="L8" s="893" t="s">
        <v>654</v>
      </c>
      <c r="M8" s="893" t="s">
        <v>655</v>
      </c>
      <c r="N8" s="894" t="s">
        <v>647</v>
      </c>
      <c r="O8" s="179" t="s">
        <v>656</v>
      </c>
      <c r="P8" s="895" t="s">
        <v>651</v>
      </c>
      <c r="Q8" s="893" t="s">
        <v>43</v>
      </c>
      <c r="S8" s="901"/>
      <c r="T8" s="911"/>
      <c r="U8" s="8" t="s">
        <v>629</v>
      </c>
      <c r="V8" s="905"/>
      <c r="W8" s="8" t="s">
        <v>631</v>
      </c>
      <c r="X8" s="8" t="s">
        <v>633</v>
      </c>
      <c r="Y8" s="6"/>
      <c r="Z8" s="6"/>
    </row>
    <row r="9" spans="1:26" ht="13.8">
      <c r="A9" s="184" t="s">
        <v>469</v>
      </c>
      <c r="B9" s="875"/>
      <c r="C9" s="875"/>
      <c r="D9" s="876"/>
      <c r="E9" s="184" t="s">
        <v>549</v>
      </c>
      <c r="F9" s="877"/>
      <c r="G9" s="931"/>
      <c r="H9" s="931"/>
      <c r="I9" s="875"/>
      <c r="J9" s="6"/>
      <c r="K9" s="178" t="s">
        <v>653</v>
      </c>
      <c r="L9" s="893"/>
      <c r="M9" s="893"/>
      <c r="N9" s="894"/>
      <c r="O9" s="179" t="s">
        <v>657</v>
      </c>
      <c r="P9" s="895"/>
      <c r="Q9" s="893"/>
      <c r="S9" s="881" t="s">
        <v>9</v>
      </c>
      <c r="T9" s="912" t="s">
        <v>449</v>
      </c>
      <c r="U9" s="194" t="s">
        <v>450</v>
      </c>
      <c r="V9" s="885" t="s">
        <v>451</v>
      </c>
      <c r="W9" s="184" t="s">
        <v>635</v>
      </c>
      <c r="X9" s="195" t="s">
        <v>637</v>
      </c>
      <c r="Y9" s="203"/>
      <c r="Z9" s="203"/>
    </row>
    <row r="10" spans="1:26" ht="20.55" customHeight="1">
      <c r="A10" s="184"/>
      <c r="B10" s="875"/>
      <c r="C10" s="875"/>
      <c r="D10" s="876"/>
      <c r="E10" s="184" t="s">
        <v>550</v>
      </c>
      <c r="F10" s="877"/>
      <c r="G10" s="932"/>
      <c r="H10" s="932"/>
      <c r="I10" s="875"/>
      <c r="J10" s="6"/>
      <c r="K10" s="178"/>
      <c r="L10" s="893"/>
      <c r="M10" s="893"/>
      <c r="N10" s="894"/>
      <c r="O10" s="179" t="s">
        <v>658</v>
      </c>
      <c r="P10" s="895"/>
      <c r="Q10" s="893"/>
      <c r="S10" s="882"/>
      <c r="T10" s="891"/>
      <c r="U10" s="184" t="s">
        <v>634</v>
      </c>
      <c r="V10" s="886"/>
      <c r="W10" s="184" t="s">
        <v>636</v>
      </c>
      <c r="X10" s="184" t="s">
        <v>638</v>
      </c>
      <c r="Y10" s="201"/>
      <c r="Z10" s="201"/>
    </row>
    <row r="11" spans="1:26" ht="13.8">
      <c r="A11" s="169" t="s">
        <v>24</v>
      </c>
      <c r="B11" s="872" t="s">
        <v>552</v>
      </c>
      <c r="C11" s="872" t="s">
        <v>553</v>
      </c>
      <c r="D11" s="878">
        <v>4</v>
      </c>
      <c r="E11" s="8" t="s">
        <v>554</v>
      </c>
      <c r="F11" s="874" t="s">
        <v>545</v>
      </c>
      <c r="G11" s="927" t="s">
        <v>444</v>
      </c>
      <c r="H11" s="933" t="s">
        <v>627</v>
      </c>
      <c r="I11" s="872" t="s">
        <v>29</v>
      </c>
      <c r="J11" s="6"/>
      <c r="K11" s="169" t="s">
        <v>9</v>
      </c>
      <c r="L11" s="887" t="s">
        <v>660</v>
      </c>
      <c r="M11" s="887" t="s">
        <v>661</v>
      </c>
      <c r="N11" s="890" t="s">
        <v>647</v>
      </c>
      <c r="O11" s="176" t="s">
        <v>575</v>
      </c>
      <c r="P11" s="892" t="s">
        <v>651</v>
      </c>
      <c r="Q11" s="887" t="s">
        <v>652</v>
      </c>
      <c r="S11" s="900" t="s">
        <v>40</v>
      </c>
      <c r="T11" s="902" t="s">
        <v>449</v>
      </c>
      <c r="U11" s="193" t="s">
        <v>452</v>
      </c>
      <c r="V11" s="904" t="s">
        <v>451</v>
      </c>
      <c r="W11" s="8" t="s">
        <v>640</v>
      </c>
      <c r="X11" s="188" t="s">
        <v>642</v>
      </c>
      <c r="Y11" s="204"/>
      <c r="Z11" s="204"/>
    </row>
    <row r="12" spans="1:26" ht="21" customHeight="1">
      <c r="A12" s="8" t="s">
        <v>475</v>
      </c>
      <c r="B12" s="872"/>
      <c r="C12" s="872"/>
      <c r="D12" s="878"/>
      <c r="E12" s="8" t="s">
        <v>555</v>
      </c>
      <c r="F12" s="874"/>
      <c r="G12" s="928"/>
      <c r="H12" s="934"/>
      <c r="I12" s="872"/>
      <c r="J12" s="6"/>
      <c r="K12" s="174" t="s">
        <v>659</v>
      </c>
      <c r="L12" s="887"/>
      <c r="M12" s="887"/>
      <c r="N12" s="890"/>
      <c r="O12" s="176" t="s">
        <v>662</v>
      </c>
      <c r="P12" s="892"/>
      <c r="Q12" s="887"/>
      <c r="S12" s="901"/>
      <c r="T12" s="903"/>
      <c r="U12" s="8" t="s">
        <v>639</v>
      </c>
      <c r="V12" s="905"/>
      <c r="W12" s="8" t="s">
        <v>641</v>
      </c>
      <c r="X12" s="8" t="s">
        <v>643</v>
      </c>
      <c r="Y12" s="6"/>
      <c r="Z12" s="6"/>
    </row>
    <row r="13" spans="1:26" ht="13.8">
      <c r="A13" s="8"/>
      <c r="B13" s="872"/>
      <c r="C13" s="872"/>
      <c r="D13" s="878"/>
      <c r="E13" s="8" t="s">
        <v>556</v>
      </c>
      <c r="F13" s="874"/>
      <c r="G13" s="929"/>
      <c r="H13" s="935"/>
      <c r="I13" s="872"/>
      <c r="J13" s="6"/>
      <c r="K13" s="174"/>
      <c r="L13" s="887"/>
      <c r="M13" s="887"/>
      <c r="N13" s="890"/>
      <c r="O13" s="176" t="s">
        <v>663</v>
      </c>
      <c r="P13" s="892"/>
      <c r="Q13" s="887"/>
    </row>
    <row r="14" spans="1:26" ht="13.8">
      <c r="A14" s="169" t="s">
        <v>24</v>
      </c>
      <c r="B14" s="875" t="s">
        <v>540</v>
      </c>
      <c r="C14" s="875" t="s">
        <v>557</v>
      </c>
      <c r="D14" s="879">
        <v>0.02</v>
      </c>
      <c r="E14" s="184" t="s">
        <v>558</v>
      </c>
      <c r="F14" s="877" t="s">
        <v>551</v>
      </c>
      <c r="G14" s="927" t="s">
        <v>444</v>
      </c>
      <c r="H14" s="933" t="s">
        <v>627</v>
      </c>
      <c r="I14" s="875" t="s">
        <v>29</v>
      </c>
      <c r="J14" s="6"/>
      <c r="K14" s="169" t="s">
        <v>9</v>
      </c>
      <c r="L14" s="893" t="s">
        <v>665</v>
      </c>
      <c r="M14" s="893" t="s">
        <v>666</v>
      </c>
      <c r="N14" s="894" t="s">
        <v>647</v>
      </c>
      <c r="O14" s="179" t="s">
        <v>575</v>
      </c>
      <c r="P14" s="895" t="s">
        <v>651</v>
      </c>
      <c r="Q14" s="893" t="s">
        <v>669</v>
      </c>
    </row>
    <row r="15" spans="1:26" ht="13.8">
      <c r="A15" s="184" t="s">
        <v>479</v>
      </c>
      <c r="B15" s="875"/>
      <c r="C15" s="875"/>
      <c r="D15" s="879"/>
      <c r="E15" s="184" t="s">
        <v>559</v>
      </c>
      <c r="F15" s="877"/>
      <c r="G15" s="928"/>
      <c r="H15" s="934"/>
      <c r="I15" s="875"/>
      <c r="J15" s="6"/>
      <c r="K15" s="178" t="s">
        <v>664</v>
      </c>
      <c r="L15" s="893"/>
      <c r="M15" s="893"/>
      <c r="N15" s="894"/>
      <c r="O15" s="179" t="s">
        <v>667</v>
      </c>
      <c r="P15" s="895"/>
      <c r="Q15" s="893"/>
    </row>
    <row r="16" spans="1:26" ht="13.8">
      <c r="A16" s="184"/>
      <c r="B16" s="875"/>
      <c r="C16" s="875"/>
      <c r="D16" s="879"/>
      <c r="E16" s="184" t="s">
        <v>560</v>
      </c>
      <c r="F16" s="877"/>
      <c r="G16" s="929"/>
      <c r="H16" s="935"/>
      <c r="I16" s="875"/>
      <c r="J16" s="6"/>
      <c r="K16" s="178"/>
      <c r="L16" s="893"/>
      <c r="M16" s="893"/>
      <c r="N16" s="894"/>
      <c r="O16" s="179" t="s">
        <v>668</v>
      </c>
      <c r="P16" s="895"/>
      <c r="Q16" s="893"/>
    </row>
    <row r="17" spans="1:17" ht="13.8">
      <c r="A17" s="169" t="s">
        <v>32</v>
      </c>
      <c r="B17" s="872" t="s">
        <v>552</v>
      </c>
      <c r="C17" s="872" t="s">
        <v>553</v>
      </c>
      <c r="D17" s="878">
        <v>12</v>
      </c>
      <c r="E17" s="8" t="s">
        <v>554</v>
      </c>
      <c r="F17" s="880" t="s">
        <v>551</v>
      </c>
      <c r="G17" s="927" t="s">
        <v>444</v>
      </c>
      <c r="H17" s="936" t="s">
        <v>632</v>
      </c>
      <c r="I17" s="872" t="s">
        <v>29</v>
      </c>
      <c r="J17" s="6"/>
      <c r="K17" s="169" t="s">
        <v>9</v>
      </c>
      <c r="L17" s="887" t="s">
        <v>671</v>
      </c>
      <c r="M17" s="887" t="s">
        <v>672</v>
      </c>
      <c r="N17" s="890" t="s">
        <v>647</v>
      </c>
      <c r="O17" s="176" t="s">
        <v>673</v>
      </c>
      <c r="P17" s="892" t="s">
        <v>651</v>
      </c>
      <c r="Q17" s="887" t="s">
        <v>676</v>
      </c>
    </row>
    <row r="18" spans="1:17" ht="13.8">
      <c r="A18" s="8" t="s">
        <v>561</v>
      </c>
      <c r="B18" s="872"/>
      <c r="C18" s="872"/>
      <c r="D18" s="878"/>
      <c r="E18" s="8" t="s">
        <v>562</v>
      </c>
      <c r="F18" s="880"/>
      <c r="G18" s="928"/>
      <c r="H18" s="937"/>
      <c r="I18" s="872"/>
      <c r="J18" s="6"/>
      <c r="K18" s="174" t="s">
        <v>670</v>
      </c>
      <c r="L18" s="887"/>
      <c r="M18" s="887"/>
      <c r="N18" s="890"/>
      <c r="O18" s="176" t="s">
        <v>674</v>
      </c>
      <c r="P18" s="892"/>
      <c r="Q18" s="887"/>
    </row>
    <row r="19" spans="1:17" ht="13.8">
      <c r="A19" s="8"/>
      <c r="B19" s="872"/>
      <c r="C19" s="872"/>
      <c r="D19" s="878"/>
      <c r="E19" s="8" t="s">
        <v>563</v>
      </c>
      <c r="F19" s="880"/>
      <c r="G19" s="929"/>
      <c r="H19" s="938"/>
      <c r="I19" s="872"/>
      <c r="J19" s="6"/>
      <c r="K19" s="174"/>
      <c r="L19" s="887"/>
      <c r="M19" s="887"/>
      <c r="N19" s="890"/>
      <c r="O19" s="176" t="s">
        <v>675</v>
      </c>
      <c r="P19" s="892"/>
      <c r="Q19" s="887"/>
    </row>
    <row r="20" spans="1:17" ht="13.8">
      <c r="A20" s="169" t="s">
        <v>32</v>
      </c>
      <c r="B20" s="875" t="s">
        <v>564</v>
      </c>
      <c r="C20" s="875" t="s">
        <v>565</v>
      </c>
      <c r="D20" s="876" t="s">
        <v>488</v>
      </c>
      <c r="E20" s="184" t="s">
        <v>566</v>
      </c>
      <c r="F20" s="877" t="s">
        <v>551</v>
      </c>
      <c r="G20" s="927" t="s">
        <v>444</v>
      </c>
      <c r="H20" s="936" t="s">
        <v>632</v>
      </c>
      <c r="I20" s="875" t="s">
        <v>29</v>
      </c>
      <c r="J20" s="6"/>
      <c r="K20" s="169" t="s">
        <v>9</v>
      </c>
      <c r="L20" s="913" t="s">
        <v>678</v>
      </c>
      <c r="M20" s="913" t="s">
        <v>679</v>
      </c>
      <c r="N20" s="914" t="s">
        <v>647</v>
      </c>
      <c r="O20" s="171" t="s">
        <v>680</v>
      </c>
      <c r="P20" s="915" t="s">
        <v>651</v>
      </c>
      <c r="Q20" s="913" t="s">
        <v>683</v>
      </c>
    </row>
    <row r="21" spans="1:17" ht="13.8">
      <c r="A21" s="184" t="s">
        <v>487</v>
      </c>
      <c r="B21" s="875"/>
      <c r="C21" s="875"/>
      <c r="D21" s="876"/>
      <c r="E21" s="184" t="s">
        <v>567</v>
      </c>
      <c r="F21" s="877"/>
      <c r="G21" s="928"/>
      <c r="H21" s="937"/>
      <c r="I21" s="875"/>
      <c r="J21" s="6"/>
      <c r="K21" s="170" t="s">
        <v>677</v>
      </c>
      <c r="L21" s="913"/>
      <c r="M21" s="913"/>
      <c r="N21" s="914"/>
      <c r="O21" s="171" t="s">
        <v>681</v>
      </c>
      <c r="P21" s="915"/>
      <c r="Q21" s="913"/>
    </row>
    <row r="22" spans="1:17" ht="13.8">
      <c r="A22" s="184"/>
      <c r="B22" s="875"/>
      <c r="C22" s="875"/>
      <c r="D22" s="876"/>
      <c r="E22" s="184" t="s">
        <v>568</v>
      </c>
      <c r="F22" s="877"/>
      <c r="G22" s="929"/>
      <c r="H22" s="938"/>
      <c r="I22" s="875"/>
      <c r="J22" s="6"/>
      <c r="K22" s="180"/>
      <c r="L22" s="916"/>
      <c r="M22" s="916"/>
      <c r="N22" s="917"/>
      <c r="O22" s="181" t="s">
        <v>682</v>
      </c>
      <c r="P22" s="918"/>
      <c r="Q22" s="916"/>
    </row>
    <row r="23" spans="1:17" ht="16.8">
      <c r="A23" s="169" t="s">
        <v>9</v>
      </c>
      <c r="B23" s="872" t="s">
        <v>552</v>
      </c>
      <c r="C23" s="872" t="s">
        <v>570</v>
      </c>
      <c r="D23" s="878">
        <v>3</v>
      </c>
      <c r="E23" s="8" t="s">
        <v>554</v>
      </c>
      <c r="F23" s="896" t="s">
        <v>571</v>
      </c>
      <c r="G23" s="920" t="s">
        <v>699</v>
      </c>
      <c r="H23" s="920" t="s">
        <v>642</v>
      </c>
      <c r="I23" s="872" t="s">
        <v>43</v>
      </c>
      <c r="J23" s="6"/>
      <c r="K23" s="154"/>
      <c r="L23" s="160"/>
      <c r="M23" s="161"/>
      <c r="N23" s="162"/>
      <c r="O23" s="155"/>
      <c r="P23" s="165"/>
      <c r="Q23" s="156"/>
    </row>
    <row r="24" spans="1:17" ht="16.8">
      <c r="A24" s="8" t="s">
        <v>569</v>
      </c>
      <c r="B24" s="872"/>
      <c r="C24" s="872"/>
      <c r="D24" s="878"/>
      <c r="E24" s="8" t="s">
        <v>555</v>
      </c>
      <c r="F24" s="896"/>
      <c r="G24" s="921"/>
      <c r="H24" s="921"/>
      <c r="I24" s="872"/>
      <c r="J24" s="6"/>
      <c r="K24" s="156"/>
      <c r="L24" s="160"/>
      <c r="M24" s="161"/>
      <c r="N24" s="162"/>
      <c r="O24" s="155"/>
      <c r="P24" s="165"/>
      <c r="Q24" s="156"/>
    </row>
    <row r="25" spans="1:17" ht="16.8">
      <c r="A25" s="8"/>
      <c r="B25" s="872"/>
      <c r="C25" s="872"/>
      <c r="D25" s="878"/>
      <c r="E25" s="8" t="s">
        <v>556</v>
      </c>
      <c r="F25" s="896"/>
      <c r="G25" s="922"/>
      <c r="H25" s="922"/>
      <c r="I25" s="872"/>
      <c r="J25" s="6"/>
      <c r="K25" s="156"/>
      <c r="L25" s="160"/>
      <c r="M25" s="161"/>
      <c r="N25" s="162"/>
      <c r="O25" s="155"/>
      <c r="P25" s="165"/>
      <c r="Q25" s="156"/>
    </row>
    <row r="26" spans="1:17" ht="16.8">
      <c r="A26" s="169" t="s">
        <v>9</v>
      </c>
      <c r="B26" s="875" t="s">
        <v>573</v>
      </c>
      <c r="C26" s="875" t="s">
        <v>574</v>
      </c>
      <c r="D26" s="879">
        <v>0.85</v>
      </c>
      <c r="E26" s="184" t="s">
        <v>575</v>
      </c>
      <c r="F26" s="892" t="s">
        <v>545</v>
      </c>
      <c r="G26" s="924" t="s">
        <v>699</v>
      </c>
      <c r="H26" s="920" t="s">
        <v>642</v>
      </c>
      <c r="I26" s="875" t="s">
        <v>43</v>
      </c>
      <c r="J26" s="6"/>
      <c r="K26" s="154"/>
      <c r="L26" s="156"/>
      <c r="M26" s="163"/>
      <c r="N26" s="164"/>
      <c r="O26" s="155"/>
      <c r="P26" s="165"/>
      <c r="Q26" s="156"/>
    </row>
    <row r="27" spans="1:17" ht="16.8">
      <c r="A27" s="184" t="s">
        <v>572</v>
      </c>
      <c r="B27" s="875"/>
      <c r="C27" s="875"/>
      <c r="D27" s="879"/>
      <c r="E27" s="184" t="s">
        <v>576</v>
      </c>
      <c r="F27" s="892"/>
      <c r="G27" s="925"/>
      <c r="H27" s="921"/>
      <c r="I27" s="875"/>
      <c r="J27" s="6"/>
      <c r="K27" s="156"/>
      <c r="L27" s="156"/>
      <c r="M27" s="163"/>
      <c r="N27" s="164"/>
      <c r="O27" s="155"/>
      <c r="P27" s="165"/>
      <c r="Q27" s="156"/>
    </row>
    <row r="28" spans="1:17" ht="16.8">
      <c r="A28" s="184"/>
      <c r="B28" s="875"/>
      <c r="C28" s="875"/>
      <c r="D28" s="879"/>
      <c r="E28" s="184" t="s">
        <v>577</v>
      </c>
      <c r="F28" s="892"/>
      <c r="G28" s="926"/>
      <c r="H28" s="922"/>
      <c r="I28" s="875"/>
      <c r="J28" s="6"/>
      <c r="K28" s="156"/>
      <c r="L28" s="156"/>
      <c r="M28" s="163"/>
      <c r="N28" s="164"/>
      <c r="O28" s="155"/>
      <c r="P28" s="165"/>
      <c r="Q28" s="156"/>
    </row>
    <row r="29" spans="1:17" ht="13.8">
      <c r="A29" s="169" t="s">
        <v>40</v>
      </c>
      <c r="B29" s="872" t="s">
        <v>552</v>
      </c>
      <c r="C29" s="872" t="s">
        <v>579</v>
      </c>
      <c r="D29" s="878">
        <v>4</v>
      </c>
      <c r="E29" s="8" t="s">
        <v>554</v>
      </c>
      <c r="F29" s="874" t="s">
        <v>545</v>
      </c>
      <c r="G29" s="927" t="s">
        <v>699</v>
      </c>
      <c r="H29" s="920" t="s">
        <v>642</v>
      </c>
      <c r="I29" s="872" t="s">
        <v>41</v>
      </c>
      <c r="J29" s="6"/>
      <c r="K29" s="8"/>
      <c r="L29" s="8"/>
      <c r="M29" s="8"/>
      <c r="N29" s="8"/>
      <c r="O29" s="8"/>
      <c r="P29" s="8"/>
      <c r="Q29" s="8"/>
    </row>
    <row r="30" spans="1:17" ht="13.8">
      <c r="A30" s="8" t="s">
        <v>578</v>
      </c>
      <c r="B30" s="872"/>
      <c r="C30" s="872"/>
      <c r="D30" s="878"/>
      <c r="E30" s="8" t="s">
        <v>555</v>
      </c>
      <c r="F30" s="874"/>
      <c r="G30" s="928"/>
      <c r="H30" s="921"/>
      <c r="I30" s="872"/>
      <c r="J30" s="6"/>
      <c r="K30" s="8"/>
      <c r="L30" s="8"/>
      <c r="M30" s="8"/>
      <c r="N30" s="8"/>
      <c r="O30" s="8"/>
      <c r="P30" s="8"/>
      <c r="Q30" s="8"/>
    </row>
    <row r="31" spans="1:17" ht="13.8">
      <c r="A31" s="8"/>
      <c r="B31" s="872"/>
      <c r="C31" s="872"/>
      <c r="D31" s="878"/>
      <c r="E31" s="8" t="s">
        <v>556</v>
      </c>
      <c r="F31" s="874"/>
      <c r="G31" s="929"/>
      <c r="H31" s="922"/>
      <c r="I31" s="872"/>
      <c r="J31" s="6"/>
      <c r="K31" s="6"/>
      <c r="L31" s="6"/>
      <c r="M31" s="6"/>
      <c r="N31" s="6"/>
      <c r="O31" s="6"/>
      <c r="P31" s="6"/>
      <c r="Q31" s="6"/>
    </row>
    <row r="32" spans="1:17" ht="13.8">
      <c r="A32" s="169" t="s">
        <v>40</v>
      </c>
      <c r="B32" s="875" t="s">
        <v>580</v>
      </c>
      <c r="C32" s="875" t="s">
        <v>723</v>
      </c>
      <c r="D32" s="876" t="s">
        <v>502</v>
      </c>
      <c r="E32" s="184" t="s">
        <v>581</v>
      </c>
      <c r="F32" s="892" t="s">
        <v>545</v>
      </c>
      <c r="G32" s="924" t="s">
        <v>699</v>
      </c>
      <c r="H32" s="920" t="s">
        <v>642</v>
      </c>
      <c r="I32" s="875" t="s">
        <v>41</v>
      </c>
      <c r="J32" s="6"/>
      <c r="K32" s="6"/>
      <c r="L32" s="6"/>
      <c r="M32" s="6"/>
      <c r="N32" s="6"/>
      <c r="O32" s="6"/>
      <c r="P32" s="6"/>
      <c r="Q32" s="6"/>
    </row>
    <row r="33" spans="1:17" ht="13.8">
      <c r="A33" s="184" t="s">
        <v>501</v>
      </c>
      <c r="B33" s="875"/>
      <c r="C33" s="875"/>
      <c r="D33" s="876"/>
      <c r="E33" s="184" t="s">
        <v>582</v>
      </c>
      <c r="F33" s="892"/>
      <c r="G33" s="925"/>
      <c r="H33" s="921"/>
      <c r="I33" s="875"/>
      <c r="J33" s="6"/>
      <c r="K33" s="6"/>
      <c r="L33" s="6"/>
      <c r="M33" s="6"/>
      <c r="N33" s="6"/>
      <c r="O33" s="6"/>
      <c r="P33" s="6"/>
      <c r="Q33" s="6"/>
    </row>
    <row r="34" spans="1:17" ht="13.8">
      <c r="A34" s="184"/>
      <c r="B34" s="875"/>
      <c r="C34" s="875"/>
      <c r="D34" s="876"/>
      <c r="E34" s="176" t="s">
        <v>583</v>
      </c>
      <c r="F34" s="892"/>
      <c r="G34" s="926"/>
      <c r="H34" s="922"/>
      <c r="I34" s="875"/>
      <c r="J34" s="6"/>
      <c r="K34" s="6"/>
      <c r="L34" s="6"/>
      <c r="M34" s="6"/>
      <c r="N34" s="6"/>
      <c r="O34" s="6"/>
      <c r="P34" s="6"/>
      <c r="Q34" s="6"/>
    </row>
    <row r="35" spans="1:17" ht="25.05" customHeight="1">
      <c r="A35" s="189"/>
      <c r="B35" s="189"/>
      <c r="C35" s="189"/>
      <c r="D35" s="190"/>
      <c r="E35" s="191"/>
      <c r="F35" s="192"/>
      <c r="G35" s="192"/>
      <c r="H35" s="192"/>
      <c r="I35" s="189"/>
      <c r="J35" s="6"/>
      <c r="K35" s="6"/>
      <c r="L35" s="6"/>
      <c r="M35" s="6"/>
      <c r="N35" s="6"/>
      <c r="O35" s="6"/>
      <c r="P35" s="6"/>
      <c r="Q35" s="6"/>
    </row>
    <row r="36" spans="1:17" ht="21" hidden="1">
      <c r="A36" s="908" t="s">
        <v>611</v>
      </c>
      <c r="B36" s="908"/>
      <c r="C36" s="908"/>
      <c r="D36" s="908"/>
      <c r="E36" s="908"/>
      <c r="F36" s="908"/>
      <c r="G36" s="908"/>
      <c r="H36" s="908"/>
      <c r="I36" s="908"/>
      <c r="J36" s="6"/>
      <c r="K36" s="6"/>
      <c r="L36" s="6"/>
      <c r="M36" s="6"/>
      <c r="N36" s="6"/>
      <c r="O36" s="6"/>
      <c r="P36" s="6"/>
      <c r="Q36" s="6"/>
    </row>
    <row r="37" spans="1:17" ht="20.399999999999999" hidden="1">
      <c r="A37" s="219"/>
      <c r="B37" s="217"/>
      <c r="C37" s="217"/>
      <c r="D37" s="217"/>
      <c r="E37" s="217"/>
      <c r="F37" s="217"/>
      <c r="G37" s="217"/>
      <c r="H37" s="217"/>
      <c r="I37" s="217"/>
      <c r="J37" s="6"/>
      <c r="K37" s="6"/>
      <c r="L37" s="6"/>
      <c r="M37" s="6"/>
      <c r="N37" s="6"/>
      <c r="O37" s="6"/>
      <c r="P37" s="6"/>
      <c r="Q37" s="6"/>
    </row>
    <row r="38" spans="1:17" ht="21" hidden="1">
      <c r="A38" s="909" t="s">
        <v>612</v>
      </c>
      <c r="B38" s="909"/>
      <c r="C38" s="909"/>
      <c r="D38" s="909"/>
      <c r="E38" s="909"/>
      <c r="F38" s="909"/>
      <c r="G38" s="909"/>
      <c r="H38" s="909"/>
      <c r="I38" s="909"/>
      <c r="J38" s="6"/>
      <c r="K38" s="6"/>
      <c r="L38" s="6"/>
      <c r="M38" s="6"/>
      <c r="N38" s="6"/>
      <c r="O38" s="6"/>
      <c r="P38" s="6"/>
      <c r="Q38" s="6"/>
    </row>
    <row r="39" spans="1:17" ht="21" hidden="1">
      <c r="A39" s="898" t="s">
        <v>717</v>
      </c>
      <c r="B39" s="898"/>
      <c r="C39" s="898"/>
      <c r="D39" s="898"/>
      <c r="E39" s="898"/>
      <c r="F39" s="898"/>
      <c r="G39" s="898"/>
      <c r="H39" s="898"/>
      <c r="I39" s="898"/>
      <c r="J39" s="6"/>
      <c r="K39" s="6"/>
      <c r="L39" s="6"/>
      <c r="M39" s="6"/>
      <c r="N39" s="6"/>
      <c r="O39" s="6"/>
      <c r="P39" s="6"/>
      <c r="Q39" s="6"/>
    </row>
    <row r="40" spans="1:17" ht="21" hidden="1">
      <c r="A40" s="898" t="s">
        <v>718</v>
      </c>
      <c r="B40" s="898"/>
      <c r="C40" s="898"/>
      <c r="D40" s="898"/>
      <c r="E40" s="898"/>
      <c r="F40" s="898"/>
      <c r="G40" s="898"/>
      <c r="H40" s="898"/>
      <c r="I40" s="898"/>
      <c r="J40" s="6"/>
      <c r="K40" s="6"/>
      <c r="L40" s="6"/>
      <c r="M40" s="6"/>
      <c r="N40" s="6"/>
      <c r="O40" s="6"/>
      <c r="P40" s="6"/>
      <c r="Q40" s="6"/>
    </row>
    <row r="41" spans="1:17" ht="21" hidden="1">
      <c r="A41" s="898" t="s">
        <v>719</v>
      </c>
      <c r="B41" s="898"/>
      <c r="C41" s="898"/>
      <c r="D41" s="898"/>
      <c r="E41" s="898"/>
      <c r="F41" s="898"/>
      <c r="G41" s="898"/>
      <c r="H41" s="898"/>
      <c r="I41" s="898"/>
      <c r="J41" s="6"/>
      <c r="K41" s="6"/>
      <c r="L41" s="6"/>
      <c r="M41" s="6"/>
      <c r="N41" s="6"/>
      <c r="O41" s="6"/>
      <c r="P41" s="6"/>
      <c r="Q41" s="6"/>
    </row>
    <row r="42" spans="1:17" ht="21" hidden="1">
      <c r="A42" s="897" t="s">
        <v>613</v>
      </c>
      <c r="B42" s="897"/>
      <c r="C42" s="897"/>
      <c r="D42" s="897"/>
      <c r="E42" s="897"/>
      <c r="F42" s="897"/>
      <c r="G42" s="897"/>
      <c r="H42" s="897"/>
      <c r="I42" s="897"/>
      <c r="J42" s="6"/>
      <c r="K42" s="6"/>
      <c r="L42" s="6"/>
      <c r="M42" s="6"/>
      <c r="N42" s="6"/>
      <c r="O42" s="6"/>
      <c r="P42" s="6"/>
      <c r="Q42" s="6"/>
    </row>
    <row r="43" spans="1:17" ht="21" hidden="1">
      <c r="A43" s="898" t="s">
        <v>720</v>
      </c>
      <c r="B43" s="898"/>
      <c r="C43" s="898"/>
      <c r="D43" s="898"/>
      <c r="E43" s="898"/>
      <c r="F43" s="898"/>
      <c r="G43" s="898"/>
      <c r="H43" s="898"/>
      <c r="I43" s="898"/>
      <c r="J43" s="6"/>
      <c r="K43" s="6"/>
      <c r="L43" s="6"/>
      <c r="M43" s="6"/>
      <c r="N43" s="6"/>
      <c r="O43" s="6"/>
      <c r="P43" s="6"/>
      <c r="Q43" s="6"/>
    </row>
    <row r="44" spans="1:17" ht="21" hidden="1">
      <c r="A44" s="898" t="s">
        <v>721</v>
      </c>
      <c r="B44" s="898"/>
      <c r="C44" s="898"/>
      <c r="D44" s="898"/>
      <c r="E44" s="898"/>
      <c r="F44" s="898"/>
      <c r="G44" s="898"/>
      <c r="H44" s="898"/>
      <c r="I44" s="898"/>
      <c r="J44" s="6"/>
      <c r="K44" s="6"/>
      <c r="L44" s="6"/>
      <c r="M44" s="6"/>
      <c r="N44" s="6"/>
      <c r="O44" s="6"/>
      <c r="P44" s="6"/>
      <c r="Q44" s="6"/>
    </row>
    <row r="45" spans="1:17" ht="21" hidden="1">
      <c r="A45" s="898" t="s">
        <v>722</v>
      </c>
      <c r="B45" s="898"/>
      <c r="C45" s="898"/>
      <c r="D45" s="898"/>
      <c r="E45" s="898"/>
      <c r="F45" s="898"/>
      <c r="G45" s="898"/>
      <c r="H45" s="898"/>
      <c r="I45" s="898"/>
      <c r="J45" s="6"/>
      <c r="K45" s="6"/>
      <c r="L45" s="6"/>
      <c r="M45" s="6"/>
      <c r="N45" s="6"/>
      <c r="O45" s="6"/>
      <c r="P45" s="6"/>
      <c r="Q45" s="6"/>
    </row>
    <row r="46" spans="1:17" ht="13.8">
      <c r="J46" s="6"/>
      <c r="K46" s="6"/>
      <c r="L46" s="6"/>
      <c r="M46" s="6"/>
      <c r="N46" s="6"/>
      <c r="O46" s="6"/>
      <c r="P46" s="6"/>
      <c r="Q46" s="6"/>
    </row>
    <row r="47" spans="1:17" ht="22.8">
      <c r="A47" s="849" t="s">
        <v>507</v>
      </c>
      <c r="B47" s="849"/>
      <c r="C47" s="849"/>
      <c r="D47" s="849"/>
      <c r="E47" s="205"/>
      <c r="F47" s="205"/>
      <c r="G47" s="6"/>
      <c r="H47" s="6"/>
      <c r="I47" s="6"/>
      <c r="J47" s="6"/>
      <c r="K47" s="6"/>
      <c r="L47" s="6"/>
      <c r="M47" s="6"/>
      <c r="N47" s="6"/>
      <c r="O47" s="6"/>
      <c r="P47" s="6"/>
      <c r="Q47" s="6"/>
    </row>
    <row r="48" spans="1:17" ht="21">
      <c r="A48" s="208" t="s">
        <v>508</v>
      </c>
      <c r="B48" s="208" t="s">
        <v>509</v>
      </c>
      <c r="C48" s="208" t="s">
        <v>105</v>
      </c>
      <c r="D48" s="208" t="s">
        <v>511</v>
      </c>
      <c r="E48" s="199"/>
      <c r="F48" s="199"/>
      <c r="G48" s="199"/>
      <c r="H48" s="199"/>
      <c r="I48" s="6"/>
      <c r="J48" s="6"/>
      <c r="K48" s="6"/>
      <c r="L48" s="6"/>
      <c r="M48" s="6"/>
      <c r="N48" s="6"/>
      <c r="O48" s="6"/>
      <c r="P48" s="6"/>
      <c r="Q48" s="6"/>
    </row>
    <row r="49" spans="1:17" ht="45">
      <c r="A49" s="209" t="s">
        <v>512</v>
      </c>
      <c r="B49" s="210" t="s">
        <v>712</v>
      </c>
      <c r="C49" s="211" t="s">
        <v>713</v>
      </c>
      <c r="D49" s="210" t="s">
        <v>702</v>
      </c>
      <c r="I49" s="6"/>
      <c r="J49" s="6"/>
      <c r="K49" s="6"/>
      <c r="L49" s="6"/>
      <c r="M49" s="6"/>
      <c r="N49" s="6"/>
      <c r="O49" s="6"/>
      <c r="P49" s="6"/>
      <c r="Q49" s="6"/>
    </row>
    <row r="50" spans="1:17" ht="75">
      <c r="A50" s="209" t="s">
        <v>589</v>
      </c>
      <c r="B50" s="210" t="s">
        <v>708</v>
      </c>
      <c r="C50" s="212" t="s">
        <v>714</v>
      </c>
      <c r="D50" s="210" t="s">
        <v>703</v>
      </c>
      <c r="I50" s="6"/>
      <c r="J50" s="6"/>
      <c r="K50" s="6"/>
      <c r="L50" s="6"/>
      <c r="M50" s="6"/>
      <c r="N50" s="6"/>
      <c r="O50" s="6"/>
      <c r="P50" s="6"/>
      <c r="Q50" s="6"/>
    </row>
    <row r="51" spans="1:17" ht="90">
      <c r="A51" s="209" t="s">
        <v>522</v>
      </c>
      <c r="B51" s="210" t="s">
        <v>709</v>
      </c>
      <c r="C51" s="213" t="s">
        <v>715</v>
      </c>
      <c r="D51" s="210" t="s">
        <v>704</v>
      </c>
      <c r="I51" s="6"/>
      <c r="J51" s="6"/>
      <c r="K51" s="6"/>
      <c r="L51" s="6"/>
      <c r="M51" s="6"/>
      <c r="N51" s="6"/>
      <c r="O51" s="6"/>
      <c r="P51" s="6"/>
      <c r="Q51" s="6"/>
    </row>
    <row r="52" spans="1:17" ht="60">
      <c r="A52" s="209" t="s">
        <v>594</v>
      </c>
      <c r="B52" s="210" t="s">
        <v>710</v>
      </c>
      <c r="C52" s="211" t="s">
        <v>716</v>
      </c>
      <c r="D52" s="210" t="s">
        <v>705</v>
      </c>
      <c r="I52" s="6"/>
      <c r="J52" s="6"/>
      <c r="K52" s="6"/>
      <c r="L52" s="6"/>
      <c r="M52" s="6"/>
      <c r="N52" s="6"/>
      <c r="O52" s="6"/>
      <c r="P52" s="6"/>
      <c r="Q52" s="6"/>
    </row>
    <row r="53" spans="1:17" ht="60">
      <c r="A53" s="216" t="s">
        <v>532</v>
      </c>
      <c r="B53" s="214" t="s">
        <v>711</v>
      </c>
      <c r="C53" s="215" t="s">
        <v>707</v>
      </c>
      <c r="D53" s="210" t="s">
        <v>706</v>
      </c>
      <c r="I53" s="6"/>
      <c r="J53" s="6"/>
      <c r="K53" s="6"/>
      <c r="L53" s="6"/>
      <c r="M53" s="6"/>
      <c r="N53" s="6"/>
      <c r="O53" s="6"/>
      <c r="P53" s="6"/>
      <c r="Q53" s="6"/>
    </row>
    <row r="54" spans="1:17" ht="38.549999999999997" customHeight="1">
      <c r="A54" s="207"/>
      <c r="B54" s="53"/>
      <c r="C54" s="53"/>
      <c r="D54" s="53"/>
      <c r="I54" s="6"/>
      <c r="J54" s="6"/>
      <c r="K54" s="6"/>
      <c r="L54" s="6"/>
      <c r="M54" s="6"/>
      <c r="N54" s="6"/>
      <c r="O54" s="6"/>
      <c r="P54" s="6"/>
      <c r="Q54" s="6"/>
    </row>
    <row r="55" spans="1:17" ht="13.8">
      <c r="A55" s="168"/>
      <c r="B55" s="6"/>
      <c r="C55" s="6"/>
      <c r="D55" s="6"/>
      <c r="I55" s="6"/>
      <c r="J55" s="6"/>
      <c r="K55" s="6"/>
      <c r="L55" s="6"/>
      <c r="M55" s="6"/>
      <c r="N55" s="6"/>
      <c r="O55" s="6"/>
      <c r="P55" s="6"/>
      <c r="Q55" s="6"/>
    </row>
    <row r="56" spans="1:17" ht="28.05" hidden="1" customHeight="1">
      <c r="A56" s="899" t="s">
        <v>584</v>
      </c>
      <c r="B56" s="899"/>
      <c r="C56" s="899"/>
      <c r="D56" s="899"/>
      <c r="E56" s="899"/>
      <c r="F56" s="899"/>
      <c r="G56" s="899"/>
      <c r="H56" s="899"/>
      <c r="I56" s="899"/>
      <c r="J56" s="6"/>
      <c r="K56" s="6"/>
      <c r="L56" s="6"/>
      <c r="M56" s="6"/>
      <c r="N56" s="6"/>
      <c r="O56" s="6"/>
      <c r="P56" s="6"/>
      <c r="Q56" s="6"/>
    </row>
    <row r="57" spans="1:17" ht="13.8" hidden="1">
      <c r="A57" s="182" t="s">
        <v>585</v>
      </c>
      <c r="B57" s="182" t="s">
        <v>509</v>
      </c>
      <c r="C57" s="182" t="s">
        <v>586</v>
      </c>
      <c r="D57" s="182" t="s">
        <v>510</v>
      </c>
      <c r="E57" s="182" t="s">
        <v>105</v>
      </c>
      <c r="F57" s="182" t="s">
        <v>462</v>
      </c>
      <c r="G57" s="206"/>
      <c r="H57" s="206"/>
      <c r="I57" s="6"/>
      <c r="J57" s="6"/>
      <c r="K57" s="6"/>
      <c r="L57" s="6"/>
      <c r="M57" s="6"/>
      <c r="N57" s="6"/>
      <c r="O57" s="6"/>
      <c r="P57" s="6"/>
      <c r="Q57" s="6"/>
    </row>
    <row r="58" spans="1:17" ht="14.25" hidden="1" customHeight="1">
      <c r="A58" s="193" t="s">
        <v>512</v>
      </c>
      <c r="B58" s="8" t="s">
        <v>513</v>
      </c>
      <c r="C58" s="225" t="s">
        <v>587</v>
      </c>
      <c r="D58" s="186" t="s">
        <v>514</v>
      </c>
      <c r="E58" s="183" t="s">
        <v>588</v>
      </c>
      <c r="F58" s="8" t="s">
        <v>516</v>
      </c>
      <c r="G58" s="6"/>
      <c r="H58" s="6"/>
      <c r="I58" s="6"/>
      <c r="J58" s="6"/>
      <c r="K58" s="6"/>
      <c r="L58" s="6"/>
      <c r="M58" s="6"/>
      <c r="N58" s="6"/>
      <c r="O58" s="6"/>
      <c r="P58" s="6"/>
      <c r="Q58" s="6"/>
    </row>
    <row r="59" spans="1:17" ht="41.4" hidden="1">
      <c r="A59" s="194" t="s">
        <v>589</v>
      </c>
      <c r="B59" s="184" t="s">
        <v>518</v>
      </c>
      <c r="C59" s="184" t="s">
        <v>590</v>
      </c>
      <c r="D59" s="175" t="s">
        <v>519</v>
      </c>
      <c r="E59" s="185" t="s">
        <v>591</v>
      </c>
      <c r="F59" s="184" t="s">
        <v>521</v>
      </c>
      <c r="G59" s="6"/>
      <c r="H59" s="6"/>
      <c r="I59" s="6"/>
      <c r="J59" s="6"/>
      <c r="K59" s="6"/>
      <c r="L59" s="6"/>
      <c r="M59" s="6"/>
      <c r="N59" s="6"/>
      <c r="O59" s="6"/>
      <c r="P59" s="6"/>
      <c r="Q59" s="6"/>
    </row>
    <row r="60" spans="1:17" ht="41.4" hidden="1">
      <c r="A60" s="193" t="s">
        <v>522</v>
      </c>
      <c r="B60" s="8" t="s">
        <v>523</v>
      </c>
      <c r="C60" s="225" t="s">
        <v>592</v>
      </c>
      <c r="D60" s="186" t="s">
        <v>524</v>
      </c>
      <c r="E60" s="188" t="s">
        <v>593</v>
      </c>
      <c r="F60" s="8" t="s">
        <v>526</v>
      </c>
      <c r="G60" s="6"/>
      <c r="H60" s="6"/>
      <c r="I60" s="6"/>
      <c r="J60" s="6"/>
      <c r="K60" s="6"/>
      <c r="L60" s="6"/>
      <c r="M60" s="6"/>
      <c r="N60" s="6"/>
      <c r="O60" s="6"/>
      <c r="P60" s="6"/>
      <c r="Q60" s="6"/>
    </row>
    <row r="61" spans="1:17" ht="41.4" hidden="1">
      <c r="A61" s="194" t="s">
        <v>594</v>
      </c>
      <c r="B61" s="184" t="s">
        <v>528</v>
      </c>
      <c r="C61" s="226" t="s">
        <v>595</v>
      </c>
      <c r="D61" s="175" t="s">
        <v>596</v>
      </c>
      <c r="E61" s="177" t="s">
        <v>597</v>
      </c>
      <c r="F61" s="184" t="s">
        <v>531</v>
      </c>
      <c r="G61" s="6"/>
      <c r="H61" s="6"/>
      <c r="I61" s="6"/>
      <c r="J61" s="6"/>
      <c r="K61" s="6"/>
      <c r="L61" s="6"/>
      <c r="M61" s="6"/>
      <c r="N61" s="6"/>
      <c r="O61" s="6"/>
      <c r="P61" s="6"/>
      <c r="Q61" s="6"/>
    </row>
    <row r="62" spans="1:17" ht="41.4" hidden="1">
      <c r="A62" s="193" t="s">
        <v>532</v>
      </c>
      <c r="B62" s="8" t="s">
        <v>533</v>
      </c>
      <c r="C62" s="8" t="s">
        <v>598</v>
      </c>
      <c r="D62" s="186" t="s">
        <v>534</v>
      </c>
      <c r="E62" s="187" t="s">
        <v>591</v>
      </c>
      <c r="F62" s="8" t="s">
        <v>535</v>
      </c>
      <c r="G62" s="6"/>
      <c r="H62" s="6"/>
      <c r="I62" s="6"/>
      <c r="J62" s="6"/>
      <c r="K62" s="6"/>
      <c r="L62" s="6"/>
      <c r="M62" s="6"/>
      <c r="N62" s="6"/>
      <c r="O62" s="6"/>
      <c r="P62" s="6"/>
      <c r="Q62" s="6"/>
    </row>
    <row r="63" spans="1:17" ht="13.8" hidden="1">
      <c r="A63" s="193"/>
      <c r="B63" s="8"/>
      <c r="C63" s="8"/>
      <c r="D63" s="193"/>
      <c r="E63" s="193"/>
      <c r="F63" s="8"/>
      <c r="G63" s="6"/>
      <c r="H63" s="6"/>
      <c r="I63" s="6"/>
      <c r="J63" s="6"/>
      <c r="K63" s="6"/>
      <c r="L63" s="6"/>
      <c r="M63" s="6"/>
      <c r="N63" s="6"/>
      <c r="O63" s="6"/>
      <c r="P63" s="6"/>
      <c r="Q63" s="6"/>
    </row>
    <row r="64" spans="1:17" ht="13.8" hidden="1">
      <c r="A64" s="168"/>
      <c r="B64" s="6"/>
      <c r="C64" s="6"/>
      <c r="D64" s="6"/>
    </row>
    <row r="65" spans="1:10" ht="21" hidden="1">
      <c r="A65" s="919" t="s">
        <v>599</v>
      </c>
      <c r="B65" s="919"/>
      <c r="C65" s="919"/>
      <c r="D65" s="919"/>
    </row>
    <row r="66" spans="1:10" ht="13.8" hidden="1">
      <c r="A66" s="196" t="s">
        <v>105</v>
      </c>
      <c r="B66" s="196" t="s">
        <v>600</v>
      </c>
      <c r="C66" s="196" t="s">
        <v>462</v>
      </c>
      <c r="D66" s="196" t="s">
        <v>601</v>
      </c>
    </row>
    <row r="67" spans="1:10" ht="27.6" hidden="1">
      <c r="A67" s="188" t="s">
        <v>571</v>
      </c>
      <c r="B67" s="8" t="s">
        <v>602</v>
      </c>
      <c r="C67" s="8" t="s">
        <v>603</v>
      </c>
      <c r="D67" s="8" t="s">
        <v>604</v>
      </c>
    </row>
    <row r="68" spans="1:10" ht="27.6" hidden="1">
      <c r="A68" s="177" t="s">
        <v>545</v>
      </c>
      <c r="B68" s="184" t="s">
        <v>605</v>
      </c>
      <c r="C68" s="184" t="s">
        <v>606</v>
      </c>
      <c r="D68" s="184" t="s">
        <v>607</v>
      </c>
    </row>
    <row r="69" spans="1:10" ht="27.6" hidden="1">
      <c r="A69" s="197" t="s">
        <v>551</v>
      </c>
      <c r="B69" s="198" t="s">
        <v>608</v>
      </c>
      <c r="C69" s="198" t="s">
        <v>609</v>
      </c>
      <c r="D69" s="198" t="s">
        <v>610</v>
      </c>
    </row>
    <row r="70" spans="1:10" hidden="1"/>
    <row r="72" spans="1:10" ht="22.8">
      <c r="A72" s="869" t="s">
        <v>771</v>
      </c>
      <c r="B72" s="870"/>
      <c r="C72" s="870"/>
      <c r="D72" s="870"/>
      <c r="E72" s="870"/>
      <c r="F72" s="870"/>
      <c r="G72" s="870"/>
      <c r="H72" s="870"/>
      <c r="I72" s="870"/>
      <c r="J72" s="871"/>
    </row>
    <row r="73" spans="1:10">
      <c r="A73" s="220"/>
      <c r="B73" s="40"/>
      <c r="C73" s="40"/>
      <c r="D73" s="40"/>
      <c r="E73" s="40"/>
      <c r="F73" s="40"/>
      <c r="G73" s="40"/>
      <c r="H73" s="40"/>
      <c r="I73" s="40"/>
      <c r="J73" s="40"/>
    </row>
    <row r="74" spans="1:10" ht="27.6">
      <c r="A74" s="228" t="s">
        <v>772</v>
      </c>
      <c r="B74" s="228" t="s">
        <v>508</v>
      </c>
      <c r="C74" s="228" t="s">
        <v>773</v>
      </c>
      <c r="D74" s="228" t="s">
        <v>774</v>
      </c>
      <c r="E74" s="228" t="s">
        <v>509</v>
      </c>
      <c r="F74" s="228" t="s">
        <v>775</v>
      </c>
      <c r="G74" s="228" t="s">
        <v>776</v>
      </c>
      <c r="H74" s="228" t="s">
        <v>777</v>
      </c>
      <c r="I74" s="228" t="s">
        <v>778</v>
      </c>
      <c r="J74" s="228" t="s">
        <v>779</v>
      </c>
    </row>
    <row r="75" spans="1:10" ht="110.4">
      <c r="A75" s="111" t="s">
        <v>780</v>
      </c>
      <c r="B75" s="54" t="s">
        <v>781</v>
      </c>
      <c r="C75" s="54" t="s">
        <v>495</v>
      </c>
      <c r="D75" s="54" t="s">
        <v>782</v>
      </c>
      <c r="E75" s="54" t="s">
        <v>783</v>
      </c>
      <c r="F75" s="54" t="s">
        <v>784</v>
      </c>
      <c r="G75" s="54" t="s">
        <v>785</v>
      </c>
      <c r="H75" s="231" t="s">
        <v>786</v>
      </c>
      <c r="I75" s="111" t="s">
        <v>815</v>
      </c>
      <c r="J75" s="111" t="s">
        <v>816</v>
      </c>
    </row>
    <row r="76" spans="1:10" ht="124.2">
      <c r="A76" s="54"/>
      <c r="B76" s="54"/>
      <c r="C76" s="54"/>
      <c r="D76" s="54"/>
      <c r="E76" s="54" t="s">
        <v>492</v>
      </c>
      <c r="F76" s="54" t="s">
        <v>787</v>
      </c>
      <c r="G76" s="54" t="s">
        <v>788</v>
      </c>
      <c r="H76" s="233" t="s">
        <v>789</v>
      </c>
      <c r="I76" s="111" t="s">
        <v>817</v>
      </c>
      <c r="J76" s="111" t="s">
        <v>818</v>
      </c>
    </row>
    <row r="77" spans="1:10" ht="110.4">
      <c r="A77" s="111" t="s">
        <v>790</v>
      </c>
      <c r="B77" s="54" t="s">
        <v>589</v>
      </c>
      <c r="C77" s="54" t="s">
        <v>791</v>
      </c>
      <c r="D77" s="54" t="s">
        <v>792</v>
      </c>
      <c r="E77" s="54" t="s">
        <v>793</v>
      </c>
      <c r="F77" s="54" t="s">
        <v>794</v>
      </c>
      <c r="G77" s="54" t="s">
        <v>795</v>
      </c>
      <c r="H77" s="231" t="s">
        <v>786</v>
      </c>
      <c r="I77" s="111" t="s">
        <v>819</v>
      </c>
      <c r="J77" s="111" t="s">
        <v>820</v>
      </c>
    </row>
    <row r="78" spans="1:10" ht="110.4">
      <c r="A78" s="54"/>
      <c r="B78" s="54"/>
      <c r="C78" s="54"/>
      <c r="D78" s="54"/>
      <c r="E78" s="54" t="s">
        <v>796</v>
      </c>
      <c r="F78" s="54" t="s">
        <v>797</v>
      </c>
      <c r="G78" s="54" t="s">
        <v>788</v>
      </c>
      <c r="H78" s="234" t="s">
        <v>798</v>
      </c>
      <c r="I78" s="111" t="s">
        <v>821</v>
      </c>
      <c r="J78" s="111" t="s">
        <v>822</v>
      </c>
    </row>
    <row r="79" spans="1:10" ht="96.6">
      <c r="A79" s="111" t="s">
        <v>799</v>
      </c>
      <c r="B79" s="54" t="s">
        <v>800</v>
      </c>
      <c r="C79" s="54" t="s">
        <v>801</v>
      </c>
      <c r="D79" s="54" t="s">
        <v>782</v>
      </c>
      <c r="E79" s="54" t="s">
        <v>484</v>
      </c>
      <c r="F79" s="54" t="s">
        <v>802</v>
      </c>
      <c r="G79" s="54" t="s">
        <v>785</v>
      </c>
      <c r="H79" s="231" t="s">
        <v>786</v>
      </c>
      <c r="I79" s="111" t="s">
        <v>823</v>
      </c>
      <c r="J79" s="111" t="s">
        <v>824</v>
      </c>
    </row>
    <row r="80" spans="1:10" ht="96.6">
      <c r="A80" s="54"/>
      <c r="B80" s="54"/>
      <c r="C80" s="54"/>
      <c r="D80" s="54"/>
      <c r="E80" s="54" t="s">
        <v>803</v>
      </c>
      <c r="F80" s="54" t="s">
        <v>804</v>
      </c>
      <c r="G80" s="54" t="s">
        <v>805</v>
      </c>
      <c r="H80" s="234" t="s">
        <v>798</v>
      </c>
      <c r="I80" s="111" t="s">
        <v>825</v>
      </c>
      <c r="J80" s="111" t="s">
        <v>826</v>
      </c>
    </row>
    <row r="81" spans="1:10" ht="96.6">
      <c r="A81" s="111" t="s">
        <v>806</v>
      </c>
      <c r="B81" s="54" t="s">
        <v>532</v>
      </c>
      <c r="C81" s="229">
        <v>1</v>
      </c>
      <c r="D81" s="229">
        <v>0.75</v>
      </c>
      <c r="E81" s="54" t="s">
        <v>475</v>
      </c>
      <c r="F81" s="54" t="s">
        <v>797</v>
      </c>
      <c r="G81" s="54" t="s">
        <v>788</v>
      </c>
      <c r="H81" s="234" t="s">
        <v>798</v>
      </c>
      <c r="I81" s="111" t="s">
        <v>827</v>
      </c>
      <c r="J81" s="111" t="s">
        <v>828</v>
      </c>
    </row>
    <row r="82" spans="1:10" ht="82.8">
      <c r="A82" s="54"/>
      <c r="B82" s="54"/>
      <c r="C82" s="54"/>
      <c r="D82" s="54"/>
      <c r="E82" s="54" t="s">
        <v>803</v>
      </c>
      <c r="F82" s="54" t="s">
        <v>807</v>
      </c>
      <c r="G82" s="229" t="s">
        <v>835</v>
      </c>
      <c r="H82" s="234" t="s">
        <v>798</v>
      </c>
      <c r="I82" s="111" t="s">
        <v>829</v>
      </c>
      <c r="J82" s="40"/>
    </row>
    <row r="83" spans="1:10" ht="110.4">
      <c r="A83" s="111" t="s">
        <v>808</v>
      </c>
      <c r="B83" s="54" t="s">
        <v>809</v>
      </c>
      <c r="C83" s="54" t="s">
        <v>810</v>
      </c>
      <c r="D83" s="54" t="s">
        <v>782</v>
      </c>
      <c r="E83" s="54" t="s">
        <v>499</v>
      </c>
      <c r="F83" s="54" t="s">
        <v>797</v>
      </c>
      <c r="G83" s="54" t="s">
        <v>788</v>
      </c>
      <c r="H83" s="234" t="s">
        <v>798</v>
      </c>
      <c r="I83" s="111" t="s">
        <v>830</v>
      </c>
      <c r="J83" s="111" t="s">
        <v>831</v>
      </c>
    </row>
    <row r="84" spans="1:10" ht="96.6">
      <c r="A84" s="54"/>
      <c r="B84" s="54"/>
      <c r="C84" s="54"/>
      <c r="D84" s="54"/>
      <c r="E84" s="54" t="s">
        <v>501</v>
      </c>
      <c r="F84" s="54" t="s">
        <v>811</v>
      </c>
      <c r="G84" s="54" t="s">
        <v>837</v>
      </c>
      <c r="H84" s="234" t="s">
        <v>798</v>
      </c>
      <c r="I84" s="111" t="s">
        <v>832</v>
      </c>
      <c r="J84" s="40"/>
    </row>
    <row r="85" spans="1:10" ht="96.6">
      <c r="A85" s="111" t="s">
        <v>812</v>
      </c>
      <c r="B85" s="54" t="s">
        <v>813</v>
      </c>
      <c r="C85" s="54" t="s">
        <v>810</v>
      </c>
      <c r="D85" s="54" t="s">
        <v>782</v>
      </c>
      <c r="E85" s="54" t="s">
        <v>492</v>
      </c>
      <c r="F85" s="54" t="s">
        <v>787</v>
      </c>
      <c r="G85" s="54" t="s">
        <v>788</v>
      </c>
      <c r="H85" s="233" t="s">
        <v>789</v>
      </c>
      <c r="I85" s="111" t="s">
        <v>833</v>
      </c>
      <c r="J85" s="111" t="s">
        <v>834</v>
      </c>
    </row>
    <row r="86" spans="1:10" ht="79.2">
      <c r="A86" s="126"/>
      <c r="B86" s="126"/>
      <c r="C86" s="126"/>
      <c r="D86" s="126"/>
      <c r="E86" s="107" t="s">
        <v>494</v>
      </c>
      <c r="F86" s="107" t="s">
        <v>807</v>
      </c>
      <c r="G86" s="227" t="s">
        <v>836</v>
      </c>
      <c r="H86" s="235" t="s">
        <v>798</v>
      </c>
      <c r="I86" s="136" t="s">
        <v>814</v>
      </c>
      <c r="J86" s="40"/>
    </row>
  </sheetData>
  <mergeCells count="136">
    <mergeCell ref="A65:D65"/>
    <mergeCell ref="H23:H25"/>
    <mergeCell ref="H26:H28"/>
    <mergeCell ref="H29:H31"/>
    <mergeCell ref="H32:H34"/>
    <mergeCell ref="S1:X1"/>
    <mergeCell ref="A47:D47"/>
    <mergeCell ref="G23:G25"/>
    <mergeCell ref="G26:G28"/>
    <mergeCell ref="G29:G31"/>
    <mergeCell ref="G32:G34"/>
    <mergeCell ref="H5:H7"/>
    <mergeCell ref="H8:H10"/>
    <mergeCell ref="H11:H13"/>
    <mergeCell ref="H14:H16"/>
    <mergeCell ref="H17:H19"/>
    <mergeCell ref="H20:H22"/>
    <mergeCell ref="G5:G7"/>
    <mergeCell ref="G8:G10"/>
    <mergeCell ref="G11:G13"/>
    <mergeCell ref="G14:G16"/>
    <mergeCell ref="G17:G19"/>
    <mergeCell ref="G20:G22"/>
    <mergeCell ref="L2:L4"/>
    <mergeCell ref="M2:M4"/>
    <mergeCell ref="N2:N4"/>
    <mergeCell ref="P2:P4"/>
    <mergeCell ref="Q2:Q4"/>
    <mergeCell ref="L20:L22"/>
    <mergeCell ref="M20:M22"/>
    <mergeCell ref="N20:N22"/>
    <mergeCell ref="P20:P22"/>
    <mergeCell ref="Q20:Q22"/>
    <mergeCell ref="L14:L16"/>
    <mergeCell ref="M14:M16"/>
    <mergeCell ref="N14:N16"/>
    <mergeCell ref="P14:P16"/>
    <mergeCell ref="Q14:Q16"/>
    <mergeCell ref="L17:L19"/>
    <mergeCell ref="M17:M19"/>
    <mergeCell ref="N17:N19"/>
    <mergeCell ref="P17:P19"/>
    <mergeCell ref="Q17:Q19"/>
    <mergeCell ref="Q8:Q10"/>
    <mergeCell ref="L11:L13"/>
    <mergeCell ref="M11:M13"/>
    <mergeCell ref="N11:N13"/>
    <mergeCell ref="P11:P13"/>
    <mergeCell ref="A42:I42"/>
    <mergeCell ref="A43:I43"/>
    <mergeCell ref="A44:I44"/>
    <mergeCell ref="A45:I45"/>
    <mergeCell ref="A56:I56"/>
    <mergeCell ref="S11:S12"/>
    <mergeCell ref="T11:T12"/>
    <mergeCell ref="V11:V12"/>
    <mergeCell ref="A1:I1"/>
    <mergeCell ref="A3:I3"/>
    <mergeCell ref="A36:I36"/>
    <mergeCell ref="A38:I38"/>
    <mergeCell ref="A39:I39"/>
    <mergeCell ref="A40:I40"/>
    <mergeCell ref="A41:I41"/>
    <mergeCell ref="S7:S8"/>
    <mergeCell ref="T7:T8"/>
    <mergeCell ref="V7:V8"/>
    <mergeCell ref="S9:S10"/>
    <mergeCell ref="T9:T10"/>
    <mergeCell ref="V9:V10"/>
    <mergeCell ref="S3:S4"/>
    <mergeCell ref="T3:T4"/>
    <mergeCell ref="V3:V4"/>
    <mergeCell ref="B23:B25"/>
    <mergeCell ref="C23:C25"/>
    <mergeCell ref="D23:D25"/>
    <mergeCell ref="F23:F25"/>
    <mergeCell ref="I23:I25"/>
    <mergeCell ref="B26:B28"/>
    <mergeCell ref="C26:C28"/>
    <mergeCell ref="D26:D28"/>
    <mergeCell ref="F26:F28"/>
    <mergeCell ref="I26:I28"/>
    <mergeCell ref="B29:B31"/>
    <mergeCell ref="C29:C31"/>
    <mergeCell ref="D29:D31"/>
    <mergeCell ref="F29:F31"/>
    <mergeCell ref="I29:I31"/>
    <mergeCell ref="B32:B34"/>
    <mergeCell ref="C32:C34"/>
    <mergeCell ref="D32:D34"/>
    <mergeCell ref="F32:F34"/>
    <mergeCell ref="I32:I34"/>
    <mergeCell ref="I17:I19"/>
    <mergeCell ref="B20:B22"/>
    <mergeCell ref="C20:C22"/>
    <mergeCell ref="D20:D22"/>
    <mergeCell ref="F20:F22"/>
    <mergeCell ref="I20:I22"/>
    <mergeCell ref="S5:S6"/>
    <mergeCell ref="T5:T6"/>
    <mergeCell ref="V5:V6"/>
    <mergeCell ref="B17:B19"/>
    <mergeCell ref="Q11:Q13"/>
    <mergeCell ref="L5:L7"/>
    <mergeCell ref="M5:M7"/>
    <mergeCell ref="N5:N7"/>
    <mergeCell ref="P5:P7"/>
    <mergeCell ref="Q5:Q7"/>
    <mergeCell ref="L8:L10"/>
    <mergeCell ref="M8:M10"/>
    <mergeCell ref="N8:N10"/>
    <mergeCell ref="P8:P10"/>
    <mergeCell ref="A72:J72"/>
    <mergeCell ref="B5:B7"/>
    <mergeCell ref="C5:C7"/>
    <mergeCell ref="D5:D7"/>
    <mergeCell ref="F5:F7"/>
    <mergeCell ref="I5:I7"/>
    <mergeCell ref="B8:B10"/>
    <mergeCell ref="C8:C10"/>
    <mergeCell ref="D8:D10"/>
    <mergeCell ref="F8:F10"/>
    <mergeCell ref="I8:I10"/>
    <mergeCell ref="B11:B13"/>
    <mergeCell ref="C11:C13"/>
    <mergeCell ref="D11:D13"/>
    <mergeCell ref="F11:F13"/>
    <mergeCell ref="I11:I13"/>
    <mergeCell ref="B14:B16"/>
    <mergeCell ref="C14:C16"/>
    <mergeCell ref="D14:D16"/>
    <mergeCell ref="F14:F16"/>
    <mergeCell ref="I14:I16"/>
    <mergeCell ref="C17:C19"/>
    <mergeCell ref="D17:D19"/>
    <mergeCell ref="F17:F19"/>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246B4-2FB7-456E-A82F-E2D06A8BFDA2}">
  <sheetPr codeName="Sheet19"/>
  <dimension ref="A1:F54"/>
  <sheetViews>
    <sheetView zoomScale="120" zoomScaleNormal="120" workbookViewId="0">
      <selection activeCell="D10" sqref="D10"/>
    </sheetView>
  </sheetViews>
  <sheetFormatPr defaultRowHeight="13.2"/>
  <cols>
    <col min="1" max="1" width="32.109375" customWidth="1"/>
    <col min="2" max="2" width="36.88671875" customWidth="1"/>
    <col min="3" max="3" width="25.88671875" customWidth="1"/>
    <col min="4" max="4" width="23.33203125" customWidth="1"/>
    <col min="5" max="5" width="11.33203125" customWidth="1"/>
    <col min="6" max="6" width="16.6640625" customWidth="1"/>
  </cols>
  <sheetData>
    <row r="1" spans="1:6" ht="23.25" customHeight="1">
      <c r="A1" s="941" t="s">
        <v>724</v>
      </c>
      <c r="B1" s="941"/>
      <c r="C1" s="941"/>
      <c r="D1" s="941"/>
      <c r="E1" s="941"/>
      <c r="F1" s="941"/>
    </row>
    <row r="3" spans="1:6">
      <c r="A3" s="940" t="s">
        <v>838</v>
      </c>
      <c r="B3" s="940"/>
      <c r="C3" s="940"/>
      <c r="D3" s="940"/>
      <c r="E3" s="940"/>
      <c r="F3" s="940"/>
    </row>
    <row r="4" spans="1:6">
      <c r="A4" s="134"/>
    </row>
    <row r="5" spans="1:6">
      <c r="A5" s="242" t="s">
        <v>437</v>
      </c>
      <c r="B5" s="242" t="s">
        <v>725</v>
      </c>
      <c r="C5" s="242" t="s">
        <v>389</v>
      </c>
      <c r="D5" s="242" t="s">
        <v>466</v>
      </c>
      <c r="E5" s="242" t="s">
        <v>393</v>
      </c>
      <c r="F5" s="242" t="s">
        <v>386</v>
      </c>
    </row>
    <row r="6" spans="1:6">
      <c r="A6" s="137" t="s">
        <v>36</v>
      </c>
      <c r="B6" s="221">
        <v>2</v>
      </c>
      <c r="C6" s="221">
        <v>0</v>
      </c>
      <c r="D6" s="221">
        <v>1</v>
      </c>
      <c r="E6" s="221">
        <v>1</v>
      </c>
      <c r="F6" s="137" t="s">
        <v>361</v>
      </c>
    </row>
    <row r="7" spans="1:6">
      <c r="A7" s="137" t="s">
        <v>24</v>
      </c>
      <c r="B7" s="221">
        <v>2</v>
      </c>
      <c r="C7" s="221">
        <v>1</v>
      </c>
      <c r="D7" s="221">
        <v>1</v>
      </c>
      <c r="E7" s="221">
        <v>0</v>
      </c>
      <c r="F7" s="137" t="s">
        <v>253</v>
      </c>
    </row>
    <row r="8" spans="1:6">
      <c r="A8" s="137" t="s">
        <v>32</v>
      </c>
      <c r="B8" s="221">
        <v>2</v>
      </c>
      <c r="C8" s="221">
        <v>0</v>
      </c>
      <c r="D8" s="221">
        <v>0</v>
      </c>
      <c r="E8" s="221">
        <v>2</v>
      </c>
      <c r="F8" s="137" t="s">
        <v>362</v>
      </c>
    </row>
    <row r="9" spans="1:6">
      <c r="A9" s="137" t="s">
        <v>726</v>
      </c>
      <c r="B9" s="221">
        <v>2</v>
      </c>
      <c r="C9" s="221">
        <v>0</v>
      </c>
      <c r="D9" s="221">
        <v>2</v>
      </c>
      <c r="E9" s="221">
        <v>0</v>
      </c>
      <c r="F9" s="137" t="s">
        <v>253</v>
      </c>
    </row>
    <row r="10" spans="1:6">
      <c r="A10" s="137" t="s">
        <v>727</v>
      </c>
      <c r="B10" s="221">
        <v>2</v>
      </c>
      <c r="C10" s="221">
        <v>1</v>
      </c>
      <c r="D10" s="221" t="s">
        <v>36</v>
      </c>
      <c r="E10" s="221">
        <v>0</v>
      </c>
      <c r="F10" s="137" t="s">
        <v>253</v>
      </c>
    </row>
    <row r="11" spans="1:6">
      <c r="A11" s="137" t="s">
        <v>40</v>
      </c>
      <c r="B11" s="221">
        <v>2</v>
      </c>
      <c r="C11" s="221">
        <v>0</v>
      </c>
      <c r="D11" s="221">
        <v>2</v>
      </c>
      <c r="E11" s="221">
        <v>0</v>
      </c>
      <c r="F11" s="137" t="s">
        <v>253</v>
      </c>
    </row>
    <row r="12" spans="1:6">
      <c r="A12" s="137" t="s">
        <v>728</v>
      </c>
      <c r="B12" s="137">
        <v>12</v>
      </c>
      <c r="C12" s="137">
        <v>2</v>
      </c>
      <c r="D12" s="137">
        <v>7</v>
      </c>
      <c r="E12" s="137">
        <v>3</v>
      </c>
      <c r="F12" s="137" t="s">
        <v>361</v>
      </c>
    </row>
    <row r="15" spans="1:6" ht="17.399999999999999">
      <c r="A15" s="942" t="s">
        <v>729</v>
      </c>
      <c r="B15" s="942"/>
      <c r="C15" s="942"/>
      <c r="D15" s="942"/>
      <c r="E15" s="942"/>
    </row>
    <row r="16" spans="1:6">
      <c r="A16" s="134"/>
    </row>
    <row r="17" spans="1:5" ht="25.05" customHeight="1">
      <c r="A17" s="241" t="s">
        <v>730</v>
      </c>
      <c r="B17" s="241" t="s">
        <v>19</v>
      </c>
      <c r="C17" s="241" t="s">
        <v>245</v>
      </c>
      <c r="D17" s="241" t="s">
        <v>731</v>
      </c>
      <c r="E17" s="241" t="s">
        <v>732</v>
      </c>
    </row>
    <row r="18" spans="1:5">
      <c r="A18" s="137" t="s">
        <v>733</v>
      </c>
      <c r="B18" s="221" t="s">
        <v>734</v>
      </c>
      <c r="C18" s="221" t="s">
        <v>735</v>
      </c>
      <c r="D18" s="221" t="s">
        <v>43</v>
      </c>
      <c r="E18" s="221" t="s">
        <v>736</v>
      </c>
    </row>
    <row r="19" spans="1:5">
      <c r="A19" s="137" t="s">
        <v>737</v>
      </c>
      <c r="B19" s="221" t="s">
        <v>738</v>
      </c>
      <c r="C19" s="221" t="s">
        <v>739</v>
      </c>
      <c r="D19" s="221" t="s">
        <v>29</v>
      </c>
      <c r="E19" s="221" t="s">
        <v>736</v>
      </c>
    </row>
    <row r="20" spans="1:5" ht="23.25" customHeight="1">
      <c r="A20" s="137" t="s">
        <v>740</v>
      </c>
      <c r="B20" s="221" t="s">
        <v>741</v>
      </c>
      <c r="C20" s="221" t="s">
        <v>742</v>
      </c>
      <c r="D20" s="221" t="s">
        <v>29</v>
      </c>
      <c r="E20" s="221" t="s">
        <v>743</v>
      </c>
    </row>
    <row r="22" spans="1:5" ht="17.399999999999999">
      <c r="A22" s="943" t="s">
        <v>744</v>
      </c>
      <c r="B22" s="943"/>
      <c r="C22" s="943"/>
    </row>
    <row r="23" spans="1:5">
      <c r="A23" s="220"/>
      <c r="B23" s="40"/>
      <c r="C23" s="40"/>
    </row>
    <row r="24" spans="1:5">
      <c r="A24" s="241" t="s">
        <v>14</v>
      </c>
      <c r="B24" s="241" t="s">
        <v>460</v>
      </c>
      <c r="C24" s="241" t="s">
        <v>745</v>
      </c>
    </row>
    <row r="25" spans="1:5" ht="26.4">
      <c r="A25" s="136" t="s">
        <v>36</v>
      </c>
      <c r="B25" s="140" t="s">
        <v>746</v>
      </c>
      <c r="C25" s="107" t="s">
        <v>747</v>
      </c>
    </row>
    <row r="26" spans="1:5" ht="26.4">
      <c r="A26" s="136" t="s">
        <v>24</v>
      </c>
      <c r="B26" s="140" t="s">
        <v>748</v>
      </c>
      <c r="C26" s="107" t="s">
        <v>749</v>
      </c>
    </row>
    <row r="27" spans="1:5" ht="26.4">
      <c r="A27" s="136" t="s">
        <v>32</v>
      </c>
      <c r="B27" s="140" t="s">
        <v>750</v>
      </c>
      <c r="C27" s="107" t="s">
        <v>751</v>
      </c>
    </row>
    <row r="28" spans="1:5" ht="26.4">
      <c r="A28" s="136" t="s">
        <v>9</v>
      </c>
      <c r="B28" s="140" t="s">
        <v>748</v>
      </c>
      <c r="C28" s="107" t="s">
        <v>752</v>
      </c>
    </row>
    <row r="29" spans="1:5" ht="26.4">
      <c r="A29" s="136" t="s">
        <v>40</v>
      </c>
      <c r="B29" s="140" t="s">
        <v>748</v>
      </c>
      <c r="C29" s="107" t="s">
        <v>753</v>
      </c>
    </row>
    <row r="31" spans="1:5" ht="17.55" customHeight="1">
      <c r="A31" s="944" t="s">
        <v>754</v>
      </c>
      <c r="B31" s="944"/>
      <c r="C31" s="944"/>
      <c r="D31" s="944"/>
    </row>
    <row r="32" spans="1:5">
      <c r="A32" s="132"/>
    </row>
    <row r="33" spans="1:4">
      <c r="A33" s="945" t="s">
        <v>755</v>
      </c>
      <c r="B33" s="945"/>
      <c r="C33" s="945"/>
    </row>
    <row r="34" spans="1:4">
      <c r="A34" s="945" t="s">
        <v>756</v>
      </c>
      <c r="B34" s="945"/>
      <c r="C34" s="945"/>
    </row>
    <row r="35" spans="1:4">
      <c r="A35" s="945" t="s">
        <v>757</v>
      </c>
      <c r="B35" s="945"/>
      <c r="C35" s="945"/>
    </row>
    <row r="37" spans="1:4" ht="17.399999999999999">
      <c r="A37" s="944" t="s">
        <v>758</v>
      </c>
      <c r="B37" s="944"/>
      <c r="C37" s="944"/>
      <c r="D37" s="944"/>
    </row>
    <row r="38" spans="1:4">
      <c r="A38" s="134"/>
      <c r="B38" s="2"/>
      <c r="C38" s="2"/>
      <c r="D38" s="2"/>
    </row>
    <row r="39" spans="1:4" ht="13.8">
      <c r="A39" s="228" t="s">
        <v>759</v>
      </c>
      <c r="B39" s="228" t="s">
        <v>760</v>
      </c>
      <c r="C39" s="228" t="s">
        <v>761</v>
      </c>
      <c r="D39" s="228" t="s">
        <v>105</v>
      </c>
    </row>
    <row r="40" spans="1:4" ht="13.8">
      <c r="A40" s="111" t="s">
        <v>762</v>
      </c>
      <c r="B40" s="239" t="s">
        <v>470</v>
      </c>
      <c r="C40" s="239" t="s">
        <v>763</v>
      </c>
      <c r="D40" s="54" t="s">
        <v>764</v>
      </c>
    </row>
    <row r="41" spans="1:4" ht="13.8">
      <c r="A41" s="111" t="s">
        <v>765</v>
      </c>
      <c r="B41" s="239">
        <v>3</v>
      </c>
      <c r="C41" s="239" t="s">
        <v>766</v>
      </c>
      <c r="D41" s="54" t="s">
        <v>764</v>
      </c>
    </row>
    <row r="42" spans="1:4" ht="13.8">
      <c r="A42" s="111" t="s">
        <v>522</v>
      </c>
      <c r="B42" s="240">
        <v>0.3</v>
      </c>
      <c r="C42" s="240">
        <v>0.5</v>
      </c>
      <c r="D42" s="54" t="s">
        <v>767</v>
      </c>
    </row>
    <row r="43" spans="1:4" ht="13.8">
      <c r="A43" s="111" t="s">
        <v>768</v>
      </c>
      <c r="B43" s="240">
        <v>0.75</v>
      </c>
      <c r="C43" s="240">
        <v>1</v>
      </c>
      <c r="D43" s="54" t="s">
        <v>769</v>
      </c>
    </row>
    <row r="45" spans="1:4">
      <c r="A45" s="940" t="s">
        <v>770</v>
      </c>
      <c r="B45" s="940"/>
      <c r="C45" s="940"/>
      <c r="D45" s="940"/>
    </row>
    <row r="48" spans="1:4" ht="32.25" customHeight="1">
      <c r="A48" s="939" t="s">
        <v>507</v>
      </c>
      <c r="B48" s="939"/>
      <c r="C48" s="939"/>
      <c r="D48" s="939"/>
    </row>
    <row r="49" spans="1:4" ht="25.5" customHeight="1">
      <c r="A49" s="228" t="s">
        <v>508</v>
      </c>
      <c r="B49" s="228" t="s">
        <v>509</v>
      </c>
      <c r="C49" s="228" t="s">
        <v>105</v>
      </c>
      <c r="D49" s="228" t="s">
        <v>511</v>
      </c>
    </row>
    <row r="50" spans="1:4" ht="41.4">
      <c r="A50" s="111" t="s">
        <v>512</v>
      </c>
      <c r="B50" s="54" t="s">
        <v>712</v>
      </c>
      <c r="C50" s="110" t="s">
        <v>839</v>
      </c>
      <c r="D50" s="54" t="s">
        <v>702</v>
      </c>
    </row>
    <row r="51" spans="1:4" ht="41.4">
      <c r="A51" s="111" t="s">
        <v>589</v>
      </c>
      <c r="B51" s="54" t="s">
        <v>708</v>
      </c>
      <c r="C51" s="230" t="s">
        <v>840</v>
      </c>
      <c r="D51" s="54" t="s">
        <v>703</v>
      </c>
    </row>
    <row r="52" spans="1:4" ht="82.8">
      <c r="A52" s="111" t="s">
        <v>522</v>
      </c>
      <c r="B52" s="54" t="s">
        <v>709</v>
      </c>
      <c r="C52" s="232" t="s">
        <v>841</v>
      </c>
      <c r="D52" s="54" t="s">
        <v>704</v>
      </c>
    </row>
    <row r="53" spans="1:4" ht="41.4">
      <c r="A53" s="111" t="s">
        <v>594</v>
      </c>
      <c r="B53" s="54" t="s">
        <v>710</v>
      </c>
      <c r="C53" s="110" t="s">
        <v>842</v>
      </c>
      <c r="D53" s="54" t="s">
        <v>705</v>
      </c>
    </row>
    <row r="54" spans="1:4" ht="41.4">
      <c r="A54" s="193" t="s">
        <v>532</v>
      </c>
      <c r="B54" s="8" t="s">
        <v>711</v>
      </c>
      <c r="C54" s="236" t="s">
        <v>707</v>
      </c>
      <c r="D54" s="54" t="s">
        <v>706</v>
      </c>
    </row>
  </sheetData>
  <mergeCells count="11">
    <mergeCell ref="A48:D48"/>
    <mergeCell ref="A45:D45"/>
    <mergeCell ref="A1:F1"/>
    <mergeCell ref="A3:F3"/>
    <mergeCell ref="A15:E15"/>
    <mergeCell ref="A22:C22"/>
    <mergeCell ref="A37:D37"/>
    <mergeCell ref="A33:C33"/>
    <mergeCell ref="A34:C34"/>
    <mergeCell ref="A35:C35"/>
    <mergeCell ref="A31:D3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BBDA-087C-422E-B8AB-B413D7E2E82B}">
  <sheetPr codeName="Sheet20"/>
  <dimension ref="A1:F27"/>
  <sheetViews>
    <sheetView workbookViewId="0">
      <selection activeCell="A26" sqref="A26"/>
    </sheetView>
  </sheetViews>
  <sheetFormatPr defaultRowHeight="13.2"/>
  <cols>
    <col min="1" max="1" width="23.33203125" customWidth="1"/>
    <col min="2" max="2" width="21" customWidth="1"/>
    <col min="3" max="3" width="36.6640625" customWidth="1"/>
    <col min="4" max="4" width="18.109375" customWidth="1"/>
    <col min="5" max="5" width="18.88671875" customWidth="1"/>
    <col min="6" max="6" width="28.88671875" customWidth="1"/>
  </cols>
  <sheetData>
    <row r="1" spans="1:6" ht="30">
      <c r="A1" s="946" t="s">
        <v>1200</v>
      </c>
      <c r="B1" s="947"/>
      <c r="C1" s="947"/>
      <c r="D1" s="947"/>
      <c r="E1" s="947"/>
      <c r="F1" s="947"/>
    </row>
    <row r="2" spans="1:6">
      <c r="A2" s="134"/>
    </row>
    <row r="3" spans="1:6" ht="13.8">
      <c r="A3" s="250" t="s">
        <v>772</v>
      </c>
      <c r="B3" s="250" t="s">
        <v>585</v>
      </c>
      <c r="C3" s="250" t="s">
        <v>843</v>
      </c>
      <c r="D3" s="250" t="s">
        <v>773</v>
      </c>
      <c r="E3" s="250" t="s">
        <v>1153</v>
      </c>
      <c r="F3" s="269" t="s">
        <v>1199</v>
      </c>
    </row>
    <row r="4" spans="1:6" ht="39.6">
      <c r="A4" s="136" t="s">
        <v>1043</v>
      </c>
      <c r="B4" s="107" t="s">
        <v>781</v>
      </c>
      <c r="C4" s="126" t="s">
        <v>849</v>
      </c>
      <c r="D4" s="221" t="s">
        <v>495</v>
      </c>
      <c r="E4" s="221" t="s">
        <v>495</v>
      </c>
      <c r="F4" s="270"/>
    </row>
    <row r="5" spans="1:6" ht="39.6">
      <c r="A5" s="136" t="s">
        <v>1043</v>
      </c>
      <c r="B5" s="107" t="s">
        <v>781</v>
      </c>
      <c r="C5" s="126" t="s">
        <v>849</v>
      </c>
      <c r="D5" s="221" t="s">
        <v>495</v>
      </c>
      <c r="E5" s="221" t="s">
        <v>495</v>
      </c>
      <c r="F5" s="221"/>
    </row>
    <row r="6" spans="1:6" ht="39.6">
      <c r="A6" s="136" t="s">
        <v>1043</v>
      </c>
      <c r="B6" s="107" t="s">
        <v>781</v>
      </c>
      <c r="C6" s="126" t="s">
        <v>849</v>
      </c>
      <c r="D6" s="221" t="s">
        <v>495</v>
      </c>
      <c r="E6" s="221" t="s">
        <v>495</v>
      </c>
      <c r="F6" s="221"/>
    </row>
    <row r="7" spans="1:6" ht="26.4">
      <c r="A7" s="136" t="s">
        <v>1055</v>
      </c>
      <c r="B7" s="107" t="s">
        <v>589</v>
      </c>
      <c r="C7" s="126" t="s">
        <v>863</v>
      </c>
      <c r="D7" s="221" t="s">
        <v>992</v>
      </c>
      <c r="E7" s="221" t="s">
        <v>992</v>
      </c>
      <c r="F7" s="221"/>
    </row>
    <row r="8" spans="1:6" ht="26.4">
      <c r="A8" s="136" t="s">
        <v>1055</v>
      </c>
      <c r="B8" s="107" t="s">
        <v>644</v>
      </c>
      <c r="C8" s="126" t="s">
        <v>867</v>
      </c>
      <c r="D8" s="221" t="s">
        <v>856</v>
      </c>
      <c r="E8" s="221" t="s">
        <v>856</v>
      </c>
      <c r="F8" s="221"/>
    </row>
    <row r="9" spans="1:6" ht="26.4">
      <c r="A9" s="136" t="s">
        <v>1064</v>
      </c>
      <c r="B9" s="107" t="s">
        <v>800</v>
      </c>
      <c r="C9" s="126" t="s">
        <v>874</v>
      </c>
      <c r="D9" s="221" t="s">
        <v>993</v>
      </c>
      <c r="E9" s="221" t="s">
        <v>993</v>
      </c>
      <c r="F9" s="221"/>
    </row>
    <row r="10" spans="1:6" ht="26.4">
      <c r="A10" s="136" t="s">
        <v>1064</v>
      </c>
      <c r="B10" s="107" t="s">
        <v>800</v>
      </c>
      <c r="C10" s="126" t="s">
        <v>874</v>
      </c>
      <c r="D10" s="221" t="s">
        <v>993</v>
      </c>
      <c r="E10" s="221" t="s">
        <v>993</v>
      </c>
      <c r="F10" s="221"/>
    </row>
    <row r="11" spans="1:6" ht="26.4">
      <c r="A11" s="136" t="s">
        <v>1064</v>
      </c>
      <c r="B11" s="107" t="s">
        <v>800</v>
      </c>
      <c r="C11" s="126" t="s">
        <v>874</v>
      </c>
      <c r="D11" s="221" t="s">
        <v>993</v>
      </c>
      <c r="E11" s="221" t="s">
        <v>993</v>
      </c>
      <c r="F11" s="221"/>
    </row>
    <row r="12" spans="1:6" ht="26.4">
      <c r="A12" s="136" t="s">
        <v>1076</v>
      </c>
      <c r="B12" s="107" t="s">
        <v>532</v>
      </c>
      <c r="C12" s="126" t="s">
        <v>887</v>
      </c>
      <c r="D12" s="246">
        <v>1</v>
      </c>
      <c r="E12" s="246">
        <v>1</v>
      </c>
      <c r="F12" s="246"/>
    </row>
    <row r="13" spans="1:6" ht="26.4">
      <c r="A13" s="136" t="s">
        <v>1076</v>
      </c>
      <c r="B13" s="107" t="s">
        <v>532</v>
      </c>
      <c r="C13" s="126" t="s">
        <v>887</v>
      </c>
      <c r="D13" s="246">
        <v>1</v>
      </c>
      <c r="E13" s="246">
        <v>1</v>
      </c>
      <c r="F13" s="246"/>
    </row>
    <row r="14" spans="1:6" ht="26.4">
      <c r="A14" s="136" t="s">
        <v>1076</v>
      </c>
      <c r="B14" s="107" t="s">
        <v>532</v>
      </c>
      <c r="C14" s="126" t="s">
        <v>887</v>
      </c>
      <c r="D14" s="246">
        <v>1</v>
      </c>
      <c r="E14" s="246">
        <v>1</v>
      </c>
      <c r="F14" s="246"/>
    </row>
    <row r="15" spans="1:6" ht="26.4">
      <c r="A15" s="136" t="s">
        <v>1088</v>
      </c>
      <c r="B15" s="107" t="s">
        <v>809</v>
      </c>
      <c r="C15" s="126" t="s">
        <v>902</v>
      </c>
      <c r="D15" s="221" t="s">
        <v>810</v>
      </c>
      <c r="E15" s="221" t="s">
        <v>810</v>
      </c>
      <c r="F15" s="221"/>
    </row>
    <row r="16" spans="1:6" ht="26.4">
      <c r="A16" s="136" t="s">
        <v>1088</v>
      </c>
      <c r="B16" s="107" t="s">
        <v>907</v>
      </c>
      <c r="C16" s="126" t="s">
        <v>908</v>
      </c>
      <c r="D16" s="221" t="s">
        <v>909</v>
      </c>
      <c r="E16" s="221" t="s">
        <v>909</v>
      </c>
      <c r="F16" s="221"/>
    </row>
    <row r="17" spans="1:6" ht="39.6">
      <c r="A17" s="136" t="s">
        <v>1088</v>
      </c>
      <c r="B17" s="107" t="s">
        <v>1097</v>
      </c>
      <c r="C17" s="126" t="s">
        <v>1150</v>
      </c>
      <c r="D17" s="221" t="s">
        <v>1098</v>
      </c>
      <c r="E17" s="221" t="s">
        <v>1098</v>
      </c>
      <c r="F17" s="221"/>
    </row>
    <row r="18" spans="1:6" ht="39.6">
      <c r="A18" s="136" t="s">
        <v>1102</v>
      </c>
      <c r="B18" s="107" t="s">
        <v>813</v>
      </c>
      <c r="C18" s="126" t="s">
        <v>916</v>
      </c>
      <c r="D18" s="221" t="s">
        <v>810</v>
      </c>
      <c r="E18" s="221" t="s">
        <v>810</v>
      </c>
      <c r="F18" s="221"/>
    </row>
    <row r="19" spans="1:6" ht="26.4">
      <c r="A19" s="136" t="s">
        <v>1102</v>
      </c>
      <c r="B19" s="107" t="s">
        <v>494</v>
      </c>
      <c r="C19" s="126" t="s">
        <v>918</v>
      </c>
      <c r="D19" s="221" t="s">
        <v>909</v>
      </c>
      <c r="E19" s="221" t="s">
        <v>909</v>
      </c>
      <c r="F19" s="221"/>
    </row>
    <row r="20" spans="1:6" ht="39.6">
      <c r="A20" s="136" t="s">
        <v>1110</v>
      </c>
      <c r="B20" s="107" t="s">
        <v>924</v>
      </c>
      <c r="C20" s="126" t="s">
        <v>925</v>
      </c>
      <c r="D20" s="221" t="s">
        <v>495</v>
      </c>
      <c r="E20" s="221" t="s">
        <v>495</v>
      </c>
      <c r="F20" s="221"/>
    </row>
    <row r="21" spans="1:6" ht="39.6">
      <c r="A21" s="136" t="s">
        <v>1110</v>
      </c>
      <c r="B21" s="107" t="s">
        <v>924</v>
      </c>
      <c r="C21" s="126" t="s">
        <v>925</v>
      </c>
      <c r="D21" s="221" t="s">
        <v>495</v>
      </c>
      <c r="E21" s="221" t="s">
        <v>495</v>
      </c>
      <c r="F21" s="221"/>
    </row>
    <row r="22" spans="1:6" ht="39.6">
      <c r="A22" s="136" t="s">
        <v>1118</v>
      </c>
      <c r="B22" s="107" t="s">
        <v>936</v>
      </c>
      <c r="C22" s="126" t="s">
        <v>937</v>
      </c>
      <c r="D22" s="221" t="s">
        <v>938</v>
      </c>
      <c r="E22" s="221" t="s">
        <v>938</v>
      </c>
      <c r="F22" s="221"/>
    </row>
    <row r="23" spans="1:6" ht="39.6">
      <c r="A23" s="136" t="s">
        <v>1118</v>
      </c>
      <c r="B23" s="107" t="s">
        <v>936</v>
      </c>
      <c r="C23" s="126" t="s">
        <v>937</v>
      </c>
      <c r="D23" s="221" t="s">
        <v>938</v>
      </c>
      <c r="E23" s="221" t="s">
        <v>938</v>
      </c>
      <c r="F23" s="221"/>
    </row>
    <row r="24" spans="1:6" ht="26.4">
      <c r="A24" s="136" t="s">
        <v>1127</v>
      </c>
      <c r="B24" s="107" t="s">
        <v>965</v>
      </c>
      <c r="C24" s="126" t="s">
        <v>966</v>
      </c>
      <c r="D24" s="221" t="s">
        <v>495</v>
      </c>
      <c r="E24" s="221" t="s">
        <v>495</v>
      </c>
      <c r="F24" s="221"/>
    </row>
    <row r="25" spans="1:6" ht="26.4">
      <c r="A25" s="136" t="s">
        <v>1127</v>
      </c>
      <c r="B25" s="107" t="s">
        <v>965</v>
      </c>
      <c r="C25" s="126" t="s">
        <v>966</v>
      </c>
      <c r="D25" s="221" t="s">
        <v>495</v>
      </c>
      <c r="E25" s="221" t="s">
        <v>495</v>
      </c>
      <c r="F25" s="221"/>
    </row>
    <row r="26" spans="1:6" ht="39.6">
      <c r="A26" s="136" t="s">
        <v>1136</v>
      </c>
      <c r="B26" s="107" t="s">
        <v>1137</v>
      </c>
      <c r="C26" s="126" t="s">
        <v>976</v>
      </c>
      <c r="D26" s="221" t="s">
        <v>852</v>
      </c>
      <c r="E26" s="221" t="s">
        <v>852</v>
      </c>
      <c r="F26" s="221"/>
    </row>
    <row r="27" spans="1:6" ht="39.6">
      <c r="A27" s="136" t="s">
        <v>1136</v>
      </c>
      <c r="B27" s="107" t="s">
        <v>1137</v>
      </c>
      <c r="C27" s="126" t="s">
        <v>976</v>
      </c>
      <c r="D27" s="221" t="s">
        <v>852</v>
      </c>
      <c r="E27" s="221" t="s">
        <v>852</v>
      </c>
      <c r="F27" s="221"/>
    </row>
  </sheetData>
  <mergeCells count="1">
    <mergeCell ref="A1:F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R26"/>
  <sheetViews>
    <sheetView zoomScale="80" zoomScaleNormal="80" workbookViewId="0">
      <pane ySplit="6" topLeftCell="A7" activePane="bottomLeft" state="frozen"/>
      <selection activeCell="D10" sqref="D10"/>
      <selection pane="bottomLeft" activeCell="D10" sqref="D10"/>
    </sheetView>
  </sheetViews>
  <sheetFormatPr defaultColWidth="8.6640625" defaultRowHeight="13.8"/>
  <cols>
    <col min="1" max="1" width="14.6640625" style="5" customWidth="1"/>
    <col min="2" max="2" width="65.6640625" style="5" customWidth="1"/>
    <col min="3" max="3" width="43.6640625" style="5" customWidth="1"/>
    <col min="4" max="5" width="28.33203125" style="5" customWidth="1"/>
    <col min="6" max="6" width="13.33203125" style="5" customWidth="1"/>
    <col min="7" max="7" width="28.33203125" style="5" customWidth="1"/>
    <col min="8" max="8" width="12.33203125" style="5" customWidth="1"/>
    <col min="9" max="16384" width="8.6640625" style="5"/>
  </cols>
  <sheetData>
    <row r="1" spans="1:18" customFormat="1">
      <c r="A1" s="948" t="s">
        <v>215</v>
      </c>
      <c r="B1" s="948"/>
      <c r="C1" s="948"/>
      <c r="D1" s="948"/>
      <c r="E1" s="5"/>
    </row>
    <row r="2" spans="1:18" customFormat="1">
      <c r="A2" s="949" t="s">
        <v>1</v>
      </c>
      <c r="B2" s="949"/>
      <c r="C2" s="949"/>
      <c r="D2" s="949"/>
      <c r="E2" s="5"/>
    </row>
    <row r="3" spans="1:18" customFormat="1">
      <c r="A3" s="949" t="s">
        <v>2</v>
      </c>
      <c r="B3" s="949"/>
      <c r="C3" s="949"/>
      <c r="D3" s="949"/>
      <c r="E3" s="5"/>
    </row>
    <row r="4" spans="1:18" customFormat="1" ht="29.25" customHeight="1" thickBot="1">
      <c r="A4" s="950" t="s">
        <v>216</v>
      </c>
      <c r="B4" s="950"/>
      <c r="C4" s="950"/>
      <c r="D4" s="39"/>
      <c r="E4" s="34"/>
      <c r="F4" s="34"/>
      <c r="G4" s="34"/>
      <c r="H4" s="34"/>
      <c r="I4" s="34"/>
      <c r="J4" s="35"/>
      <c r="K4" s="34"/>
      <c r="L4" s="34"/>
      <c r="M4" s="34"/>
      <c r="N4" s="36"/>
      <c r="O4" s="34"/>
      <c r="P4" s="35"/>
      <c r="Q4" s="35"/>
      <c r="R4" s="35"/>
    </row>
    <row r="5" spans="1:18" s="13" customFormat="1" ht="59.25" hidden="1" customHeight="1" thickBot="1">
      <c r="A5" s="3" t="s">
        <v>217</v>
      </c>
      <c r="B5" s="12" t="s">
        <v>218</v>
      </c>
      <c r="C5" s="12" t="s">
        <v>219</v>
      </c>
      <c r="D5" s="12" t="s">
        <v>96</v>
      </c>
      <c r="E5" s="12" t="s">
        <v>96</v>
      </c>
      <c r="F5" s="12"/>
      <c r="G5" s="14" t="s">
        <v>220</v>
      </c>
      <c r="H5" s="12"/>
    </row>
    <row r="6" spans="1:18" ht="27.6">
      <c r="A6" s="114" t="s">
        <v>221</v>
      </c>
      <c r="B6" s="115" t="s">
        <v>222</v>
      </c>
      <c r="C6" s="116" t="s">
        <v>223</v>
      </c>
      <c r="D6" s="115" t="s">
        <v>224</v>
      </c>
      <c r="E6" s="117" t="s">
        <v>225</v>
      </c>
      <c r="F6" s="118" t="s">
        <v>226</v>
      </c>
      <c r="G6" s="117" t="s">
        <v>227</v>
      </c>
      <c r="H6" s="119" t="s">
        <v>228</v>
      </c>
    </row>
    <row r="7" spans="1:18">
      <c r="A7" s="4" t="str">
        <f>IF(B7&lt;&gt;"","PA_" &amp; TEXT(ROW(B7)-6,"0000"),"")</f>
        <v/>
      </c>
      <c r="B7" s="4"/>
      <c r="C7" s="4"/>
      <c r="D7" s="4"/>
      <c r="E7" s="4"/>
      <c r="F7" s="4"/>
      <c r="G7" s="4"/>
      <c r="H7" s="4"/>
    </row>
    <row r="8" spans="1:18">
      <c r="A8" s="4"/>
      <c r="B8" s="4"/>
      <c r="C8" s="4"/>
      <c r="D8" s="4"/>
      <c r="E8" s="4"/>
      <c r="F8" s="4"/>
      <c r="G8" s="4"/>
      <c r="H8" s="4"/>
    </row>
    <row r="9" spans="1:18">
      <c r="A9" s="4"/>
      <c r="B9" s="4"/>
      <c r="C9" s="4"/>
      <c r="D9" s="4"/>
      <c r="E9" s="4"/>
      <c r="F9" s="4"/>
      <c r="G9" s="4"/>
      <c r="H9" s="4"/>
    </row>
    <row r="10" spans="1:18">
      <c r="A10" s="4"/>
      <c r="B10" s="4"/>
      <c r="C10" s="4"/>
      <c r="D10" s="4" t="s">
        <v>36</v>
      </c>
      <c r="E10" s="4"/>
      <c r="F10" s="4"/>
      <c r="G10" s="4"/>
      <c r="H10" s="4"/>
    </row>
    <row r="11" spans="1:18">
      <c r="A11" s="4"/>
      <c r="B11" s="4"/>
      <c r="C11" s="4"/>
      <c r="D11" s="4"/>
      <c r="E11" s="4"/>
      <c r="F11" s="4"/>
      <c r="G11" s="4"/>
      <c r="H11" s="4"/>
    </row>
    <row r="12" spans="1:18">
      <c r="A12" s="4"/>
      <c r="B12" s="4"/>
      <c r="C12" s="4"/>
      <c r="D12" s="4"/>
      <c r="E12" s="4"/>
      <c r="F12" s="4"/>
      <c r="G12" s="4"/>
      <c r="H12" s="4"/>
    </row>
    <row r="13" spans="1:18">
      <c r="A13" s="4"/>
      <c r="B13" s="4"/>
      <c r="C13" s="4"/>
      <c r="D13" s="4"/>
      <c r="E13" s="4"/>
      <c r="F13" s="4"/>
      <c r="G13" s="4"/>
      <c r="H13" s="4"/>
    </row>
    <row r="14" spans="1:18">
      <c r="A14" s="4"/>
      <c r="B14" s="4"/>
      <c r="C14" s="4"/>
      <c r="D14" s="4"/>
      <c r="E14" s="4"/>
      <c r="F14" s="4"/>
      <c r="G14" s="4"/>
      <c r="H14" s="4"/>
    </row>
    <row r="15" spans="1:18">
      <c r="A15" s="4"/>
      <c r="B15" s="4"/>
      <c r="C15" s="4"/>
      <c r="D15" s="4"/>
      <c r="E15" s="4"/>
      <c r="F15" s="4"/>
      <c r="G15" s="4"/>
      <c r="H15" s="4"/>
    </row>
    <row r="16" spans="1:18">
      <c r="A16" s="4"/>
      <c r="B16" s="4"/>
      <c r="C16" s="4"/>
      <c r="D16" s="4"/>
      <c r="E16" s="4"/>
      <c r="F16" s="4"/>
      <c r="G16" s="4"/>
      <c r="H16" s="4"/>
    </row>
    <row r="17" spans="1:8">
      <c r="A17" s="4"/>
      <c r="B17" s="4"/>
      <c r="C17" s="4"/>
      <c r="D17" s="4"/>
      <c r="E17" s="4"/>
      <c r="F17" s="4"/>
      <c r="G17" s="4"/>
      <c r="H17" s="4"/>
    </row>
    <row r="18" spans="1:8">
      <c r="A18" s="4"/>
      <c r="B18" s="4"/>
      <c r="C18" s="4"/>
      <c r="D18" s="4"/>
      <c r="E18" s="4"/>
      <c r="F18" s="4"/>
      <c r="G18" s="4"/>
      <c r="H18" s="4"/>
    </row>
    <row r="19" spans="1:8">
      <c r="A19" s="4"/>
      <c r="B19" s="4"/>
      <c r="C19" s="4"/>
      <c r="D19" s="4"/>
      <c r="E19" s="4"/>
      <c r="F19" s="4"/>
      <c r="G19" s="4"/>
      <c r="H19" s="4"/>
    </row>
    <row r="20" spans="1:8">
      <c r="A20" s="4"/>
      <c r="B20" s="4"/>
      <c r="C20" s="4"/>
      <c r="D20" s="4"/>
      <c r="E20" s="4"/>
      <c r="F20" s="4"/>
      <c r="G20" s="4"/>
      <c r="H20" s="4"/>
    </row>
    <row r="21" spans="1:8">
      <c r="A21" s="4"/>
      <c r="B21" s="4"/>
      <c r="C21" s="4"/>
      <c r="D21" s="4"/>
      <c r="E21" s="4"/>
      <c r="F21" s="4"/>
      <c r="G21" s="4"/>
      <c r="H21" s="4"/>
    </row>
    <row r="22" spans="1:8">
      <c r="A22" s="4"/>
      <c r="B22" s="4"/>
      <c r="C22" s="4"/>
      <c r="D22" s="4"/>
      <c r="E22" s="4"/>
      <c r="F22" s="4"/>
      <c r="G22" s="4"/>
      <c r="H22" s="4"/>
    </row>
    <row r="23" spans="1:8">
      <c r="A23" s="4"/>
      <c r="B23" s="4"/>
      <c r="C23" s="4"/>
      <c r="D23" s="4"/>
      <c r="E23" s="4"/>
      <c r="F23" s="4"/>
      <c r="G23" s="4"/>
      <c r="H23" s="4"/>
    </row>
    <row r="24" spans="1:8">
      <c r="A24" s="4"/>
      <c r="B24" s="4"/>
      <c r="C24" s="4"/>
      <c r="D24" s="4"/>
      <c r="E24" s="4"/>
      <c r="F24" s="4"/>
      <c r="G24" s="4"/>
      <c r="H24" s="4"/>
    </row>
    <row r="25" spans="1:8">
      <c r="A25" s="4"/>
      <c r="B25" s="4"/>
      <c r="C25" s="4"/>
      <c r="D25" s="4"/>
      <c r="E25" s="4"/>
      <c r="F25" s="4"/>
      <c r="G25" s="4"/>
      <c r="H25" s="4"/>
    </row>
    <row r="26" spans="1:8">
      <c r="A26" s="4"/>
      <c r="B26" s="4"/>
      <c r="C26" s="4"/>
      <c r="D26" s="4"/>
      <c r="E26" s="4"/>
      <c r="F26" s="4"/>
      <c r="G26" s="4"/>
      <c r="H26" s="4"/>
    </row>
  </sheetData>
  <customSheetViews>
    <customSheetView guid="{C2C64AFF-719D-4BC9-890F-147B4447CC0D}" scale="80">
      <selection activeCell="C7" sqref="C7"/>
      <pageMargins left="0" right="0" top="0" bottom="0" header="0" footer="0"/>
      <pageSetup paperSize="9" orientation="portrait" r:id="rId1"/>
    </customSheetView>
    <customSheetView guid="{CFB060A1-0877-4347-95EC-FD6452ADBD74}" scale="80">
      <selection activeCell="C7" sqref="C7"/>
      <pageMargins left="0" right="0" top="0" bottom="0" header="0" footer="0"/>
      <pageSetup paperSize="9" orientation="portrait" r:id="rId2"/>
    </customSheetView>
  </customSheetViews>
  <mergeCells count="4">
    <mergeCell ref="A1:D1"/>
    <mergeCell ref="A2:D2"/>
    <mergeCell ref="A3:D3"/>
    <mergeCell ref="A4:C4"/>
  </mergeCells>
  <conditionalFormatting sqref="E7:E26">
    <cfRule type="containsText" dxfId="58" priority="1" operator="containsText" text="Critical">
      <formula>NOT(ISERROR(SEARCH("Critical",E7)))</formula>
    </cfRule>
    <cfRule type="containsText" dxfId="57" priority="2" operator="containsText" text="High">
      <formula>NOT(ISERROR(SEARCH("High",E7)))</formula>
    </cfRule>
    <cfRule type="containsText" dxfId="56" priority="3" operator="containsText" text="Medium">
      <formula>NOT(ISERROR(SEARCH("Medium",E7)))</formula>
    </cfRule>
    <cfRule type="containsText" dxfId="55" priority="4" operator="containsText" text="Low">
      <formula>NOT(ISERROR(SEARCH("Low",E7)))</formula>
    </cfRule>
  </conditionalFormatting>
  <dataValidations count="1">
    <dataValidation type="list" allowBlank="1" showInputMessage="1" showErrorMessage="1" sqref="N4 I4 D7:E26" xr:uid="{00000000-0002-0000-0300-000000000000}">
      <formula1>#REF!</formula1>
    </dataValidation>
  </dataValidations>
  <pageMargins left="0.7" right="0.7" top="0.75" bottom="0.75" header="0.3" footer="0.3"/>
  <pageSetup paperSize="9" orientation="portrait"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R26"/>
  <sheetViews>
    <sheetView zoomScale="80" zoomScaleNormal="80" workbookViewId="0">
      <pane xSplit="3" ySplit="6" topLeftCell="D7" activePane="bottomRight" state="frozen"/>
      <selection activeCell="D10" sqref="D10"/>
      <selection pane="topRight" activeCell="D10" sqref="D10"/>
      <selection pane="bottomLeft" activeCell="D10" sqref="D10"/>
      <selection pane="bottomRight" activeCell="C21" sqref="C21"/>
    </sheetView>
  </sheetViews>
  <sheetFormatPr defaultColWidth="8.6640625" defaultRowHeight="13.8"/>
  <cols>
    <col min="1" max="2" width="14.6640625" style="5" customWidth="1"/>
    <col min="3" max="3" width="65.6640625" style="5" customWidth="1"/>
    <col min="4" max="4" width="10.6640625" style="5" customWidth="1"/>
    <col min="5" max="9" width="15.33203125" style="5" customWidth="1"/>
    <col min="10" max="10" width="57.33203125" style="5" customWidth="1"/>
    <col min="11" max="11" width="12.33203125" style="5" customWidth="1"/>
    <col min="12" max="16384" width="8.6640625" style="5"/>
  </cols>
  <sheetData>
    <row r="1" spans="1:18" customFormat="1">
      <c r="A1" s="948" t="s">
        <v>229</v>
      </c>
      <c r="B1" s="948"/>
      <c r="C1" s="948"/>
      <c r="D1" s="948"/>
      <c r="E1" s="5"/>
    </row>
    <row r="2" spans="1:18" customFormat="1">
      <c r="A2" s="949" t="s">
        <v>1</v>
      </c>
      <c r="B2" s="949"/>
      <c r="C2" s="949"/>
      <c r="D2" s="949"/>
      <c r="E2" s="5"/>
    </row>
    <row r="3" spans="1:18" customFormat="1">
      <c r="A3" s="949" t="s">
        <v>2</v>
      </c>
      <c r="B3" s="949"/>
      <c r="C3" s="949"/>
      <c r="D3" s="949"/>
      <c r="E3" s="5"/>
    </row>
    <row r="4" spans="1:18" customFormat="1" ht="29.25" customHeight="1">
      <c r="A4" s="950" t="s">
        <v>216</v>
      </c>
      <c r="B4" s="950"/>
      <c r="C4" s="950"/>
      <c r="D4" s="39"/>
      <c r="E4" s="34"/>
      <c r="F4" s="34"/>
      <c r="G4" s="34"/>
      <c r="H4" s="34"/>
      <c r="I4" s="34"/>
      <c r="J4" s="35"/>
      <c r="K4" s="34"/>
      <c r="L4" s="34"/>
      <c r="M4" s="34"/>
      <c r="N4" s="36"/>
      <c r="O4" s="34"/>
      <c r="P4" s="35"/>
      <c r="Q4" s="35"/>
      <c r="R4" s="35"/>
    </row>
    <row r="5" spans="1:18" s="15" customFormat="1" ht="40.799999999999997" hidden="1">
      <c r="A5" s="33" t="s">
        <v>230</v>
      </c>
      <c r="B5" s="33"/>
      <c r="C5" s="33" t="s">
        <v>231</v>
      </c>
      <c r="D5" s="16" t="s">
        <v>96</v>
      </c>
      <c r="E5" s="16" t="s">
        <v>96</v>
      </c>
      <c r="F5" s="16" t="s">
        <v>96</v>
      </c>
      <c r="G5" s="16"/>
      <c r="H5" s="16"/>
      <c r="I5" s="16"/>
      <c r="J5" s="21" t="s">
        <v>232</v>
      </c>
      <c r="K5" s="16"/>
      <c r="L5" s="21" t="s">
        <v>96</v>
      </c>
    </row>
    <row r="6" spans="1:18" s="37" customFormat="1" ht="27.6">
      <c r="A6" s="120" t="s">
        <v>233</v>
      </c>
      <c r="B6" s="121" t="s">
        <v>10</v>
      </c>
      <c r="C6" s="122" t="s">
        <v>234</v>
      </c>
      <c r="D6" s="123" t="s">
        <v>235</v>
      </c>
      <c r="E6" s="124" t="s">
        <v>100</v>
      </c>
      <c r="F6" s="124" t="s">
        <v>236</v>
      </c>
      <c r="G6" s="124" t="s">
        <v>237</v>
      </c>
      <c r="H6" s="124" t="s">
        <v>226</v>
      </c>
      <c r="I6" s="124" t="s">
        <v>238</v>
      </c>
      <c r="J6" s="122" t="s">
        <v>239</v>
      </c>
      <c r="K6" s="123" t="s">
        <v>228</v>
      </c>
      <c r="L6" s="125" t="s">
        <v>105</v>
      </c>
    </row>
    <row r="7" spans="1:18">
      <c r="A7" s="38" t="str">
        <f>IF(C7&lt;&gt;"","PD_" &amp; TEXT(ROW(C7)-6,"0000"),"")</f>
        <v/>
      </c>
      <c r="B7" s="17"/>
      <c r="C7" s="18"/>
      <c r="D7" s="18"/>
      <c r="E7" s="19"/>
      <c r="F7" s="19"/>
      <c r="G7" s="19"/>
      <c r="H7" s="19"/>
      <c r="I7" s="19"/>
      <c r="J7" s="20"/>
      <c r="K7" s="19"/>
      <c r="L7" s="20"/>
    </row>
    <row r="8" spans="1:18">
      <c r="A8" s="38" t="str">
        <f t="shared" ref="A8:A26" si="0">IF(C8&lt;&gt;"","PD_" &amp; TEXT(ROW(C8)-7,"0000"),"")</f>
        <v/>
      </c>
      <c r="B8" s="17"/>
      <c r="C8" s="18"/>
      <c r="D8" s="18"/>
      <c r="E8" s="19"/>
      <c r="F8" s="19"/>
      <c r="G8" s="19"/>
      <c r="H8" s="19"/>
      <c r="I8" s="19"/>
      <c r="J8" s="20"/>
      <c r="K8" s="19"/>
      <c r="L8" s="20"/>
    </row>
    <row r="9" spans="1:18">
      <c r="A9" s="38" t="str">
        <f t="shared" si="0"/>
        <v/>
      </c>
      <c r="B9" s="17"/>
      <c r="C9" s="18"/>
      <c r="D9" s="18"/>
      <c r="E9" s="19"/>
      <c r="F9" s="19"/>
      <c r="G9" s="19"/>
      <c r="H9" s="19"/>
      <c r="I9" s="19"/>
      <c r="J9" s="20"/>
      <c r="K9" s="19"/>
      <c r="L9" s="20"/>
    </row>
    <row r="10" spans="1:18">
      <c r="A10" s="38" t="str">
        <f t="shared" si="0"/>
        <v/>
      </c>
      <c r="B10" s="17"/>
      <c r="C10" s="18"/>
      <c r="D10" s="18" t="s">
        <v>36</v>
      </c>
      <c r="E10" s="19"/>
      <c r="F10" s="19"/>
      <c r="G10" s="19"/>
      <c r="H10" s="19"/>
      <c r="I10" s="19"/>
      <c r="J10" s="20"/>
      <c r="K10" s="19"/>
      <c r="L10" s="20"/>
    </row>
    <row r="11" spans="1:18">
      <c r="A11" s="38" t="str">
        <f t="shared" si="0"/>
        <v/>
      </c>
      <c r="B11" s="17"/>
      <c r="C11" s="18"/>
      <c r="D11" s="18"/>
      <c r="E11" s="19"/>
      <c r="F11" s="19"/>
      <c r="G11" s="19"/>
      <c r="H11" s="19"/>
      <c r="I11" s="19"/>
      <c r="J11" s="20"/>
      <c r="K11" s="19"/>
      <c r="L11" s="20"/>
    </row>
    <row r="12" spans="1:18">
      <c r="A12" s="38" t="str">
        <f t="shared" si="0"/>
        <v/>
      </c>
      <c r="B12" s="17"/>
      <c r="C12" s="18"/>
      <c r="D12" s="18"/>
      <c r="E12" s="19"/>
      <c r="F12" s="19"/>
      <c r="G12" s="19"/>
      <c r="H12" s="19"/>
      <c r="I12" s="19"/>
      <c r="J12" s="20"/>
      <c r="K12" s="19"/>
      <c r="L12" s="20"/>
    </row>
    <row r="13" spans="1:18">
      <c r="A13" s="38" t="str">
        <f t="shared" si="0"/>
        <v/>
      </c>
      <c r="B13" s="17"/>
      <c r="C13" s="18"/>
      <c r="D13" s="18"/>
      <c r="E13" s="19"/>
      <c r="F13" s="19"/>
      <c r="G13" s="19"/>
      <c r="H13" s="19"/>
      <c r="I13" s="19"/>
      <c r="J13" s="20"/>
      <c r="K13" s="19"/>
      <c r="L13" s="20"/>
    </row>
    <row r="14" spans="1:18">
      <c r="A14" s="38" t="str">
        <f t="shared" si="0"/>
        <v/>
      </c>
      <c r="B14" s="17"/>
      <c r="C14" s="18"/>
      <c r="D14" s="18"/>
      <c r="E14" s="19"/>
      <c r="F14" s="19"/>
      <c r="G14" s="19"/>
      <c r="H14" s="19"/>
      <c r="I14" s="19"/>
      <c r="J14" s="20"/>
      <c r="K14" s="19"/>
      <c r="L14" s="20"/>
    </row>
    <row r="15" spans="1:18">
      <c r="A15" s="38" t="str">
        <f t="shared" si="0"/>
        <v/>
      </c>
      <c r="B15" s="17"/>
      <c r="C15" s="18"/>
      <c r="D15" s="18"/>
      <c r="E15" s="19"/>
      <c r="F15" s="19"/>
      <c r="G15" s="19"/>
      <c r="H15" s="19"/>
      <c r="I15" s="19"/>
      <c r="J15" s="20"/>
      <c r="K15" s="19"/>
      <c r="L15" s="20"/>
    </row>
    <row r="16" spans="1:18">
      <c r="A16" s="38" t="str">
        <f t="shared" si="0"/>
        <v/>
      </c>
      <c r="B16" s="17"/>
      <c r="C16" s="18"/>
      <c r="D16" s="18"/>
      <c r="E16" s="19"/>
      <c r="F16" s="19"/>
      <c r="G16" s="19"/>
      <c r="H16" s="19"/>
      <c r="I16" s="19"/>
      <c r="J16" s="20"/>
      <c r="K16" s="19"/>
      <c r="L16" s="20"/>
    </row>
    <row r="17" spans="1:12">
      <c r="A17" s="38" t="str">
        <f t="shared" si="0"/>
        <v/>
      </c>
      <c r="B17" s="17"/>
      <c r="C17" s="18"/>
      <c r="D17" s="18"/>
      <c r="E17" s="19"/>
      <c r="F17" s="19"/>
      <c r="G17" s="19"/>
      <c r="H17" s="19"/>
      <c r="I17" s="19"/>
      <c r="J17" s="20"/>
      <c r="K17" s="19"/>
      <c r="L17" s="20"/>
    </row>
    <row r="18" spans="1:12">
      <c r="A18" s="38" t="str">
        <f t="shared" si="0"/>
        <v/>
      </c>
      <c r="B18" s="17"/>
      <c r="C18" s="18"/>
      <c r="D18" s="18"/>
      <c r="E18" s="19"/>
      <c r="F18" s="19"/>
      <c r="G18" s="19"/>
      <c r="H18" s="19"/>
      <c r="I18" s="19"/>
      <c r="J18" s="20"/>
      <c r="K18" s="19"/>
      <c r="L18" s="20"/>
    </row>
    <row r="19" spans="1:12">
      <c r="A19" s="38" t="str">
        <f t="shared" si="0"/>
        <v/>
      </c>
      <c r="B19" s="17"/>
      <c r="C19" s="18"/>
      <c r="D19" s="18"/>
      <c r="E19" s="19"/>
      <c r="F19" s="19"/>
      <c r="G19" s="19"/>
      <c r="H19" s="19"/>
      <c r="I19" s="19"/>
      <c r="J19" s="20"/>
      <c r="K19" s="19"/>
      <c r="L19" s="20"/>
    </row>
    <row r="20" spans="1:12">
      <c r="A20" s="38" t="str">
        <f t="shared" si="0"/>
        <v/>
      </c>
      <c r="B20" s="17"/>
      <c r="C20" s="18"/>
      <c r="D20" s="18"/>
      <c r="E20" s="19"/>
      <c r="F20" s="19"/>
      <c r="G20" s="19"/>
      <c r="H20" s="19"/>
      <c r="I20" s="19"/>
      <c r="J20" s="20"/>
      <c r="K20" s="19"/>
      <c r="L20" s="20"/>
    </row>
    <row r="21" spans="1:12">
      <c r="A21" s="38" t="str">
        <f t="shared" si="0"/>
        <v/>
      </c>
      <c r="B21" s="17"/>
      <c r="C21" s="18"/>
      <c r="D21" s="18"/>
      <c r="E21" s="19"/>
      <c r="F21" s="19"/>
      <c r="G21" s="19"/>
      <c r="H21" s="19"/>
      <c r="I21" s="19"/>
      <c r="J21" s="20"/>
      <c r="K21" s="19"/>
      <c r="L21" s="20"/>
    </row>
    <row r="22" spans="1:12">
      <c r="A22" s="38" t="str">
        <f t="shared" si="0"/>
        <v/>
      </c>
      <c r="B22" s="17"/>
      <c r="C22" s="18"/>
      <c r="D22" s="18"/>
      <c r="E22" s="19"/>
      <c r="F22" s="19"/>
      <c r="G22" s="19"/>
      <c r="H22" s="19"/>
      <c r="I22" s="19"/>
      <c r="J22" s="20"/>
      <c r="K22" s="19"/>
      <c r="L22" s="20"/>
    </row>
    <row r="23" spans="1:12">
      <c r="A23" s="38" t="str">
        <f t="shared" si="0"/>
        <v/>
      </c>
      <c r="B23" s="17"/>
      <c r="C23" s="18"/>
      <c r="D23" s="18"/>
      <c r="E23" s="19"/>
      <c r="F23" s="19"/>
      <c r="G23" s="19"/>
      <c r="H23" s="19"/>
      <c r="I23" s="19"/>
      <c r="J23" s="20"/>
      <c r="K23" s="19"/>
      <c r="L23" s="20"/>
    </row>
    <row r="24" spans="1:12">
      <c r="A24" s="38" t="str">
        <f t="shared" si="0"/>
        <v/>
      </c>
      <c r="B24" s="17"/>
      <c r="C24" s="18"/>
      <c r="D24" s="18"/>
      <c r="E24" s="19"/>
      <c r="F24" s="19"/>
      <c r="G24" s="19"/>
      <c r="H24" s="19"/>
      <c r="I24" s="19"/>
      <c r="J24" s="20"/>
      <c r="K24" s="19"/>
      <c r="L24" s="20"/>
    </row>
    <row r="25" spans="1:12">
      <c r="A25" s="38" t="str">
        <f t="shared" si="0"/>
        <v/>
      </c>
      <c r="B25" s="17"/>
      <c r="C25" s="18"/>
      <c r="D25" s="18"/>
      <c r="E25" s="19"/>
      <c r="F25" s="19"/>
      <c r="G25" s="19"/>
      <c r="H25" s="19"/>
      <c r="I25" s="19"/>
      <c r="J25" s="20"/>
      <c r="K25" s="19"/>
      <c r="L25" s="20"/>
    </row>
    <row r="26" spans="1:12">
      <c r="A26" s="38" t="str">
        <f t="shared" si="0"/>
        <v/>
      </c>
      <c r="B26" s="17"/>
      <c r="C26" s="18"/>
      <c r="D26" s="18"/>
      <c r="E26" s="19"/>
      <c r="F26" s="19"/>
      <c r="G26" s="19"/>
      <c r="H26" s="19"/>
      <c r="I26" s="19"/>
      <c r="J26" s="20"/>
      <c r="K26" s="19"/>
      <c r="L26" s="20"/>
    </row>
  </sheetData>
  <customSheetViews>
    <customSheetView guid="{C2C64AFF-719D-4BC9-890F-147B4447CC0D}" scale="80">
      <pane xSplit="3" ySplit="6" topLeftCell="D7" activePane="bottomRight" state="frozen"/>
      <selection pane="bottomRight" activeCell="C7" sqref="C7"/>
      <pageMargins left="0" right="0" top="0" bottom="0" header="0" footer="0"/>
      <pageSetup paperSize="9" orientation="portrait" r:id="rId1"/>
    </customSheetView>
    <customSheetView guid="{CFB060A1-0877-4347-95EC-FD6452ADBD74}" scale="80">
      <pane xSplit="3" ySplit="6" topLeftCell="D7" activePane="bottomRight" state="frozen"/>
      <selection pane="bottomRight" activeCell="C7" sqref="C7"/>
      <pageMargins left="0" right="0" top="0" bottom="0" header="0" footer="0"/>
      <pageSetup paperSize="9" orientation="portrait" r:id="rId2"/>
    </customSheetView>
  </customSheetViews>
  <mergeCells count="4">
    <mergeCell ref="A4:C4"/>
    <mergeCell ref="A3:D3"/>
    <mergeCell ref="A2:D2"/>
    <mergeCell ref="A1:D1"/>
  </mergeCells>
  <dataValidations count="1">
    <dataValidation type="list" allowBlank="1" showInputMessage="1" showErrorMessage="1" sqref="N4 I4 B7:B26 L7:L26 D7:F26" xr:uid="{00000000-0002-0000-0400-000000000000}">
      <formula1>#REF!</formula1>
    </dataValidation>
  </dataValidations>
  <pageMargins left="0.7" right="0.7" top="0.75" bottom="0.75" header="0.3" footer="0.3"/>
  <pageSetup paperSize="9" orientation="portrait" r:id="rId3"/>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63491-2D3E-4A36-ACFB-83D265668A28}">
  <sheetPr codeName="Sheet16">
    <tabColor rgb="FF00B0F0"/>
  </sheetPr>
  <dimension ref="A1:AJ75"/>
  <sheetViews>
    <sheetView zoomScale="10" zoomScaleNormal="10" workbookViewId="0">
      <selection activeCell="AA88" sqref="AA88"/>
    </sheetView>
  </sheetViews>
  <sheetFormatPr defaultColWidth="9.109375" defaultRowHeight="13.2"/>
  <cols>
    <col min="1" max="1" width="101.88671875" style="402" customWidth="1"/>
    <col min="2" max="2" width="6.6640625" style="402" customWidth="1"/>
    <col min="3" max="3" width="73.88671875" style="402" customWidth="1"/>
    <col min="4" max="4" width="35.5546875" style="402" customWidth="1"/>
    <col min="5" max="5" width="99.109375" style="402" customWidth="1"/>
    <col min="6" max="6" width="81.33203125" style="402" customWidth="1"/>
    <col min="7" max="7" width="103" style="402" customWidth="1"/>
    <col min="8" max="8" width="6.88671875" style="402" customWidth="1"/>
    <col min="9" max="9" width="148.109375" style="469" customWidth="1"/>
    <col min="10" max="10" width="58.5546875" style="402" customWidth="1"/>
    <col min="11" max="12" width="98.88671875" style="402" customWidth="1"/>
    <col min="13" max="13" width="6.6640625" style="402" customWidth="1"/>
    <col min="14" max="14" width="99.109375" style="402" customWidth="1"/>
    <col min="15" max="15" width="58.88671875" style="402" customWidth="1"/>
    <col min="16" max="16" width="81.5546875" style="402" customWidth="1"/>
    <col min="17" max="17" width="6.5546875" style="402" customWidth="1"/>
    <col min="18" max="18" width="78.88671875" style="402" customWidth="1"/>
    <col min="19" max="20" width="117.109375" style="402" customWidth="1"/>
    <col min="21" max="21" width="84.88671875" style="402" customWidth="1"/>
    <col min="22" max="22" width="6.88671875" style="402" customWidth="1"/>
    <col min="23" max="23" width="26.109375" style="402" customWidth="1"/>
    <col min="24" max="24" width="55.88671875" style="402" bestFit="1" customWidth="1"/>
    <col min="25" max="25" width="24.109375" style="402" customWidth="1"/>
    <col min="26" max="27" width="16.88671875" style="402" customWidth="1"/>
    <col min="28" max="28" width="21.44140625" style="402" customWidth="1"/>
    <col min="29" max="29" width="15.88671875" style="402" customWidth="1"/>
    <col min="30" max="30" width="9.109375" style="402" customWidth="1"/>
    <col min="31" max="32" width="25.109375" style="402" customWidth="1"/>
    <col min="33" max="33" width="21" style="402" bestFit="1" customWidth="1"/>
    <col min="34" max="34" width="131.6640625" style="402" bestFit="1" customWidth="1"/>
    <col min="35" max="36" width="59.109375" style="402" bestFit="1" customWidth="1"/>
    <col min="37" max="37" width="9.109375" style="402" customWidth="1"/>
    <col min="38" max="38" width="31.44140625" style="402" customWidth="1"/>
    <col min="39" max="39" width="9.109375" style="402" customWidth="1"/>
    <col min="40" max="16384" width="9.109375" style="402"/>
  </cols>
  <sheetData>
    <row r="1" spans="1:24" ht="74.55" customHeight="1">
      <c r="A1" s="769" t="s">
        <v>1240</v>
      </c>
      <c r="C1" s="771" t="s">
        <v>1156</v>
      </c>
      <c r="D1" s="772"/>
      <c r="E1" s="772"/>
      <c r="F1" s="772"/>
      <c r="G1" s="772"/>
      <c r="H1" s="772"/>
      <c r="I1" s="772"/>
      <c r="J1" s="772"/>
      <c r="K1" s="772"/>
      <c r="L1" s="772"/>
      <c r="M1" s="772"/>
      <c r="N1" s="772"/>
      <c r="O1" s="772"/>
      <c r="P1" s="772"/>
      <c r="Q1" s="772"/>
      <c r="R1" s="772"/>
      <c r="S1" s="772"/>
      <c r="T1" s="772"/>
      <c r="U1" s="772"/>
      <c r="V1" s="772"/>
    </row>
    <row r="2" spans="1:24" ht="12.75" customHeight="1">
      <c r="A2" s="769"/>
    </row>
    <row r="3" spans="1:24" ht="60" customHeight="1" thickBot="1">
      <c r="A3" s="770"/>
      <c r="C3" s="773" t="s">
        <v>1239</v>
      </c>
      <c r="D3" s="774"/>
      <c r="E3" s="774"/>
      <c r="F3" s="774"/>
      <c r="G3" s="774"/>
      <c r="H3" s="774"/>
      <c r="I3" s="774"/>
      <c r="J3" s="774"/>
      <c r="K3" s="774"/>
      <c r="L3" s="774"/>
      <c r="M3" s="774"/>
      <c r="N3" s="774"/>
      <c r="O3" s="774"/>
      <c r="P3" s="774"/>
      <c r="Q3" s="774"/>
      <c r="R3" s="774"/>
      <c r="S3" s="774"/>
      <c r="T3" s="774"/>
      <c r="U3" s="774"/>
      <c r="V3" s="774"/>
    </row>
    <row r="4" spans="1:24" ht="37.35" customHeight="1" thickTop="1" thickBot="1">
      <c r="A4" s="720" t="s">
        <v>1832</v>
      </c>
      <c r="B4" s="470"/>
      <c r="C4" s="471"/>
      <c r="D4" s="471"/>
      <c r="E4" s="471"/>
      <c r="F4" s="471"/>
      <c r="G4" s="471"/>
      <c r="H4" s="471"/>
      <c r="I4" s="472"/>
      <c r="J4" s="471"/>
      <c r="K4" s="471"/>
      <c r="L4" s="471"/>
      <c r="M4" s="471"/>
      <c r="N4" s="471"/>
      <c r="O4" s="470"/>
      <c r="P4" s="470"/>
      <c r="Q4" s="470"/>
      <c r="R4" s="470"/>
      <c r="S4" s="470"/>
      <c r="T4" s="470"/>
      <c r="U4" s="470"/>
      <c r="V4" s="473"/>
    </row>
    <row r="5" spans="1:24" ht="154.5" customHeight="1">
      <c r="A5" s="721"/>
      <c r="C5" s="734" t="s">
        <v>1248</v>
      </c>
      <c r="D5" s="735"/>
      <c r="E5" s="736"/>
      <c r="F5" s="775" t="s">
        <v>1255</v>
      </c>
      <c r="G5" s="724"/>
      <c r="H5" s="516"/>
      <c r="I5" s="734" t="s">
        <v>1238</v>
      </c>
      <c r="J5" s="736"/>
      <c r="K5" s="723" t="s">
        <v>1255</v>
      </c>
      <c r="L5" s="724"/>
      <c r="N5" s="551" t="s">
        <v>1245</v>
      </c>
      <c r="O5" s="552" t="s">
        <v>1148</v>
      </c>
      <c r="P5" s="553" t="s">
        <v>1244</v>
      </c>
      <c r="R5" s="786" t="s">
        <v>1822</v>
      </c>
      <c r="S5" s="787"/>
      <c r="T5" s="793" t="s">
        <v>1825</v>
      </c>
      <c r="U5" s="794"/>
      <c r="V5" s="476"/>
    </row>
    <row r="6" spans="1:24" ht="191.25" customHeight="1" thickBot="1">
      <c r="A6" s="721"/>
      <c r="C6" s="737"/>
      <c r="D6" s="738"/>
      <c r="E6" s="739"/>
      <c r="F6" s="776"/>
      <c r="G6" s="741"/>
      <c r="H6" s="516"/>
      <c r="I6" s="737"/>
      <c r="J6" s="739"/>
      <c r="K6" s="740"/>
      <c r="L6" s="741"/>
      <c r="N6" s="554" t="s">
        <v>622</v>
      </c>
      <c r="O6" s="541" cm="1">
        <f t="array" ref="O6">SUMPRODUCT(
    --(RISK_table[New RISK SCORE]&lt;&gt;RISK_table[Risk Appetite]),
    --(RISK_table[New RISK SCORE]&lt;&gt;""),
    --(RISK_table[Risk Appetite]&lt;&gt;"")
)</f>
        <v>7</v>
      </c>
      <c r="P6" s="561" t="s">
        <v>1246</v>
      </c>
      <c r="R6" s="788"/>
      <c r="S6" s="789"/>
      <c r="T6" s="795"/>
      <c r="U6" s="796"/>
      <c r="V6" s="476"/>
    </row>
    <row r="7" spans="1:24" ht="135.75" customHeight="1">
      <c r="A7" s="721"/>
      <c r="C7" s="537" t="s">
        <v>437</v>
      </c>
      <c r="D7" s="538" t="s">
        <v>1148</v>
      </c>
      <c r="E7" s="539" t="s">
        <v>1149</v>
      </c>
      <c r="F7" s="729"/>
      <c r="G7" s="730"/>
      <c r="I7" s="547" t="s">
        <v>1147</v>
      </c>
      <c r="J7" s="539" t="s">
        <v>1148</v>
      </c>
      <c r="K7" s="729"/>
      <c r="L7" s="730"/>
      <c r="N7" s="517" t="s">
        <v>627</v>
      </c>
      <c r="O7" s="541" cm="1">
        <f t="array" ref="O7">SUMPRODUCT(
    --(RISK_table[New RISK SCORE]=RISK_table[Risk Appetite]),
    --(RISK_table[New RISK SCORE]&lt;&gt;""),
    --(RISK_table[Risk Appetite]&lt;&gt;"")
)</f>
        <v>3</v>
      </c>
      <c r="P7" s="561" t="s">
        <v>1247</v>
      </c>
      <c r="R7" s="565" t="s">
        <v>1823</v>
      </c>
      <c r="S7" s="557" t="s">
        <v>1824</v>
      </c>
      <c r="T7" s="790"/>
      <c r="U7" s="779"/>
      <c r="V7" s="476"/>
    </row>
    <row r="8" spans="1:24" ht="200.1" customHeight="1" thickBot="1">
      <c r="A8" s="721"/>
      <c r="C8" s="540" t="s">
        <v>255</v>
      </c>
      <c r="D8" s="541">
        <f>COUNTIF(RISK_table[New RISK SCORE],C8)</f>
        <v>1</v>
      </c>
      <c r="E8" s="542" t="str" cm="1">
        <f t="array" ref="E8">IF(
  SUM(COUNTIFS(RISK_table[Workstream],
    {"Compliance","Environmental","Financial","GLA Compliance","Governance","Health &amp; Safety","Procurement","Programme","Regulatory","Resourcing","Safety","Social Value","Strategic","Supply Chain","Technical"},
    RISK_table[New RISK SCORE], C8))=0,
  "No Risks In This Category",
  _xlfn.TEXTJOIN(", ", TRUE,
    IF(COUNTIFS(RISK_table[Workstream],"Compliance",RISK_table[New RISK SCORE],C8)&gt;0,"Compliance (" &amp; COUNTIFS(RISK_table[Workstream],"Compliance",RISK_table[New RISK SCORE],C8) &amp; "/" &amp; COUNTIF(RISK_table[Workstream],"Compliance") &amp; ")", ""),
    IF(COUNTIFS(RISK_table[Workstream],"Environmental",RISK_table[New RISK SCORE],C8)&gt;0,"Environmental (" &amp; COUNTIFS(RISK_table[Workstream],"Environmental",RISK_table[New RISK SCORE],C8) &amp; "/" &amp; COUNTIF(RISK_table[Workstream],"Environmental") &amp; ")", ""),
    IF(COUNTIFS(RISK_table[Workstream],"Financial",RISK_table[New RISK SCORE],C8)&gt;0,"Financial (" &amp; COUNTIFS(RISK_table[Workstream],"Financial",RISK_table[New RISK SCORE],C8) &amp; "/" &amp; COUNTIF(RISK_table[Workstream],"Financial") &amp; ")", ""),
    IF(COUNTIFS(RISK_table[Workstream],"GLA Compliance",RISK_table[New RISK SCORE],C8)&gt;0,"GLA Compliance (" &amp; COUNTIFS(RISK_table[Workstream],"GLA Compliance",RISK_table[New RISK SCORE],C8) &amp; "/" &amp; COUNTIF(RISK_table[Workstream],"GLA Compliance") &amp; ")", ""),
    IF(COUNTIFS(RISK_table[Workstream],"Governance",RISK_table[New RISK SCORE],C8)&gt;0,"Governance (" &amp; COUNTIFS(RISK_table[Workstream],"Governance",RISK_table[New RISK SCORE],C8) &amp; "/" &amp; COUNTIF(RISK_table[Workstream],"Governance") &amp; ")", ""),
    IF(COUNTIFS(RISK_table[Workstream],"Health &amp; Safety",RISK_table[New RISK SCORE],C8)&gt;0,"Health &amp; Safety (" &amp; COUNTIFS(RISK_table[Workstream],"Health &amp; Safety",RISK_table[New RISK SCORE],C8) &amp; "/" &amp; COUNTIF(RISK_table[Workstream],"Health &amp; Safety") &amp; ")", ""),
    IF(COUNTIFS(RISK_table[Workstream],"Procurement",RISK_table[New RISK SCORE],C8)&gt;0,"Procurement (" &amp; COUNTIFS(RISK_table[Workstream],"Procurement",RISK_table[New RISK SCORE],C8) &amp; "/" &amp; COUNTIF(RISK_table[Workstream],"Procurement") &amp; ")", ""),
    IF(COUNTIFS(RISK_table[Workstream],"Programme",RISK_table[New RISK SCORE],C8)&gt;0,"Programme (" &amp; COUNTIFS(RISK_table[Workstream],"Programme",RISK_table[New RISK SCORE],C8) &amp; "/" &amp; COUNTIF(RISK_table[Workstream],"Programme") &amp; ")", ""),
    IF(COUNTIFS(RISK_table[Workstream],"Regulatory",RISK_table[New RISK SCORE],C8)&gt;0,"Regulatory (" &amp; COUNTIFS(RISK_table[Workstream],"Regulatory",RISK_table[New RISK SCORE],C8) &amp; "/" &amp; COUNTIF(RISK_table[Workstream],"Regulatory") &amp; ")", ""),
    IF(COUNTIFS(RISK_table[Workstream],"Resourcing",RISK_table[New RISK SCORE],C8)&gt;0,"Resourcing (" &amp; COUNTIFS(RISK_table[Workstream],"Resourcing",RISK_table[New RISK SCORE],C8) &amp; "/" &amp; COUNTIF(RISK_table[Workstream],"Resourcing") &amp; ")", ""),
    IF(COUNTIFS(RISK_table[Workstream],"Safety",RISK_table[New RISK SCORE],C8)&gt;0,"Safety (" &amp; COUNTIFS(RISK_table[Workstream],"Safety",RISK_table[New RISK SCORE],C8) &amp; "/" &amp; COUNTIF(RISK_table[Workstream],"Safety") &amp; ")", ""),
    IF(COUNTIFS(RISK_table[Workstream],"Social Value",RISK_table[New RISK SCORE],C8)&gt;0,"Social Value (" &amp; COUNTIFS(RISK_table[Workstream],"Social Value",RISK_table[New RISK SCORE],C8) &amp; "/" &amp; COUNTIF(RISK_table[Workstream],"Social Value") &amp; ")", ""),
    IF(COUNTIFS(RISK_table[Workstream],"Strategic",RISK_table[New RISK SCORE],C8)&gt;0,"Strategic (" &amp; COUNTIFS(RISK_table[Workstream],"Strategic",RISK_table[New RISK SCORE],C8) &amp; "/" &amp; COUNTIF(RISK_table[Workstream],"Strategic") &amp; ")", ""),
    IF(COUNTIFS(RISK_table[Workstream],"Supply Chain",RISK_table[New RISK SCORE],C8)&gt;0,"Supply Chain (" &amp; COUNTIFS(RISK_table[Workstream],"Supply Chain",RISK_table[New RISK SCORE],C8) &amp; "/" &amp; COUNTIF(RISK_table[Workstream],"Supply Chain") &amp; ")", ""),
    IF(COUNTIFS(RISK_table[Workstream],"Technical",RISK_table[New RISK SCORE],C8)&gt;0,"Technical (" &amp; COUNTIFS(RISK_table[Workstream],"Technical",RISK_table[New RISK SCORE],C8) &amp; "/" &amp; COUNTIF(RISK_table[Workstream],"Technical") &amp; ")", "")
  )
)</f>
        <v>No Risks In This Category</v>
      </c>
      <c r="F8" s="729"/>
      <c r="G8" s="730"/>
      <c r="I8" s="549" t="s">
        <v>38</v>
      </c>
      <c r="J8" s="542">
        <f>COUNTIF(RISK_table[Current Status],I8)</f>
        <v>62</v>
      </c>
      <c r="K8" s="729"/>
      <c r="L8" s="730"/>
      <c r="N8" s="555" t="s">
        <v>1249</v>
      </c>
      <c r="O8" s="556" cm="1">
        <f t="array" ref="O8">SUMPRODUCT(--((RISK_table[New RISK SCORE]="") + (RISK_table[Risk Appetite]="")&gt;0))</f>
        <v>93</v>
      </c>
      <c r="P8" s="562" t="s">
        <v>1250</v>
      </c>
      <c r="R8" s="566" t="s">
        <v>1826</v>
      </c>
      <c r="S8" s="541" cm="1">
        <f t="array" aca="1" ref="S8" ca="1">SUMPRODUCT((RISK_table[Date Added to Risk Register]&lt;&gt;"")*(RISK_table[Current Status]&lt;&gt;"Closed")*(DATEDIF(RISK_table[Date Added to Risk Register],TODAY(),"m")&lt;3))</f>
        <v>1</v>
      </c>
      <c r="T8" s="791"/>
      <c r="U8" s="782"/>
      <c r="V8" s="476"/>
    </row>
    <row r="9" spans="1:24" ht="173.1" customHeight="1">
      <c r="A9" s="721"/>
      <c r="C9" s="543" t="s">
        <v>254</v>
      </c>
      <c r="D9" s="541">
        <f>COUNTIF(RISK_table[New RISK SCORE],C9)</f>
        <v>10</v>
      </c>
      <c r="E9" s="542" t="str" cm="1">
        <f t="array" ref="E9">IF(
  SUM(COUNTIFS(RISK_table[Workstream],
    {"Compliance","Environmental","Financial","GLA Compliance","Governance","Health &amp; Safety","Procurement","Programme","Regulatory","Resourcing","Safety","Social Value","Strategic","Supply Chain","Technical"},
    RISK_table[New RISK SCORE], C9))=0,
  "No Risks In This Category",
  _xlfn.TEXTJOIN(", ", TRUE,
    IF(COUNTIFS(RISK_table[Workstream],"Compliance",RISK_table[New RISK SCORE],C9)&gt;0,"Compliance (" &amp; COUNTIFS(RISK_table[Workstream],"Compliance",RISK_table[New RISK SCORE],C9) &amp; "/" &amp; COUNTIF(RISK_table[Workstream],"Compliance") &amp; ")", ""),
    IF(COUNTIFS(RISK_table[Workstream],"Environmental",RISK_table[New RISK SCORE],C9)&gt;0,"Environmental (" &amp; COUNTIFS(RISK_table[Workstream],"Environmental",RISK_table[New RISK SCORE],C9) &amp; "/" &amp; COUNTIF(RISK_table[Workstream],"Environmental") &amp; ")", ""),
    IF(COUNTIFS(RISK_table[Workstream],"Financial",RISK_table[New RISK SCORE],C9)&gt;0,"Financial (" &amp; COUNTIFS(RISK_table[Workstream],"Financial",RISK_table[New RISK SCORE],C9) &amp; "/" &amp; COUNTIF(RISK_table[Workstream],"Financial") &amp; ")", ""),
    IF(COUNTIFS(RISK_table[Workstream],"GLA Compliance",RISK_table[New RISK SCORE],C9)&gt;0,"GLA Compliance (" &amp; COUNTIFS(RISK_table[Workstream],"GLA Compliance",RISK_table[New RISK SCORE],C9) &amp; "/" &amp; COUNTIF(RISK_table[Workstream],"GLA Compliance") &amp; ")", ""),
    IF(COUNTIFS(RISK_table[Workstream],"Governance",RISK_table[New RISK SCORE],C9)&gt;0,"Governance (" &amp; COUNTIFS(RISK_table[Workstream],"Governance",RISK_table[New RISK SCORE],C9) &amp; "/" &amp; COUNTIF(RISK_table[Workstream],"Governance") &amp; ")", ""),
    IF(COUNTIFS(RISK_table[Workstream],"Health &amp; Safety",RISK_table[New RISK SCORE],C9)&gt;0,"Health &amp; Safety (" &amp; COUNTIFS(RISK_table[Workstream],"Health &amp; Safety",RISK_table[New RISK SCORE],C9) &amp; "/" &amp; COUNTIF(RISK_table[Workstream],"Health &amp; Safety") &amp; ")", ""),
    IF(COUNTIFS(RISK_table[Workstream],"Procurement",RISK_table[New RISK SCORE],C9)&gt;0,"Procurement (" &amp; COUNTIFS(RISK_table[Workstream],"Procurement",RISK_table[New RISK SCORE],C9) &amp; "/" &amp; COUNTIF(RISK_table[Workstream],"Procurement") &amp; ")", ""),
    IF(COUNTIFS(RISK_table[Workstream],"Programme",RISK_table[New RISK SCORE],C9)&gt;0,"Programme (" &amp; COUNTIFS(RISK_table[Workstream],"Programme",RISK_table[New RISK SCORE],C9) &amp; "/" &amp; COUNTIF(RISK_table[Workstream],"Programme") &amp; ")", ""),
    IF(COUNTIFS(RISK_table[Workstream],"Regulatory",RISK_table[New RISK SCORE],C9)&gt;0,"Regulatory (" &amp; COUNTIFS(RISK_table[Workstream],"Regulatory",RISK_table[New RISK SCORE],C9) &amp; "/" &amp; COUNTIF(RISK_table[Workstream],"Regulatory") &amp; ")", ""),
    IF(COUNTIFS(RISK_table[Workstream],"Resourcing",RISK_table[New RISK SCORE],C9)&gt;0,"Resourcing (" &amp; COUNTIFS(RISK_table[Workstream],"Resourcing",RISK_table[New RISK SCORE],C9) &amp; "/" &amp; COUNTIF(RISK_table[Workstream],"Resourcing") &amp; ")", ""),
    IF(COUNTIFS(RISK_table[Workstream],"Safety",RISK_table[New RISK SCORE],C9)&gt;0,"Safety (" &amp; COUNTIFS(RISK_table[Workstream],"Safety",RISK_table[New RISK SCORE],C9) &amp; "/" &amp; COUNTIF(RISK_table[Workstream],"Safety") &amp; ")", ""),
    IF(COUNTIFS(RISK_table[Workstream],"Social Value",RISK_table[New RISK SCORE],C9)&gt;0,"Social Value (" &amp; COUNTIFS(RISK_table[Workstream],"Social Value",RISK_table[New RISK SCORE],C9) &amp; "/" &amp; COUNTIF(RISK_table[Workstream],"Social Value") &amp; ")", ""),
    IF(COUNTIFS(RISK_table[Workstream],"Strategic",RISK_table[New RISK SCORE],C9)&gt;0,"Strategic (" &amp; COUNTIFS(RISK_table[Workstream],"Strategic",RISK_table[New RISK SCORE],C9) &amp; "/" &amp; COUNTIF(RISK_table[Workstream],"Strategic") &amp; ")", ""),
    IF(COUNTIFS(RISK_table[Workstream],"Supply Chain",RISK_table[New RISK SCORE],C9)&gt;0,"Supply Chain (" &amp; COUNTIFS(RISK_table[Workstream],"Supply Chain",RISK_table[New RISK SCORE],C9) &amp; "/" &amp; COUNTIF(RISK_table[Workstream],"Supply Chain") &amp; ")", ""),
    IF(COUNTIFS(RISK_table[Workstream],"Technical",RISK_table[New RISK SCORE],C9)&gt;0,"Technical (" &amp; COUNTIFS(RISK_table[Workstream],"Technical",RISK_table[New RISK SCORE],C9) &amp; "/" &amp; COUNTIF(RISK_table[Workstream],"Technical") &amp; ")", "")
  )
)</f>
        <v>No Risks In This Category</v>
      </c>
      <c r="F9" s="729"/>
      <c r="G9" s="730"/>
      <c r="I9" s="549" t="s">
        <v>30</v>
      </c>
      <c r="J9" s="542">
        <f>COUNTIF(RISK_table[Current Status],I9)</f>
        <v>5</v>
      </c>
      <c r="K9" s="729"/>
      <c r="L9" s="730"/>
      <c r="N9" s="777"/>
      <c r="O9" s="778"/>
      <c r="P9" s="779"/>
      <c r="R9" s="566" t="s">
        <v>1819</v>
      </c>
      <c r="S9" s="541" cm="1">
        <f t="array" aca="1" ref="S9" ca="1">SUMPRODUCT((RISK_table[Date Added to Risk Register]&lt;&gt;"")*(RISK_table[Current Status]&lt;&gt;"Closed")*(DATEDIF(RISK_table[Date Added to Risk Register],TODAY(),"m")&gt;=3)*(DATEDIF(RISK_table[Date Added to Risk Register],TODAY(),"m")&lt;6))</f>
        <v>0</v>
      </c>
      <c r="T9" s="791"/>
      <c r="U9" s="782"/>
      <c r="V9" s="476"/>
      <c r="X9" s="528"/>
    </row>
    <row r="10" spans="1:24" ht="173.1" customHeight="1" thickBot="1">
      <c r="A10" s="721"/>
      <c r="C10" s="544" t="s">
        <v>271</v>
      </c>
      <c r="D10" s="541">
        <f>COUNTIF(RISK_table[New RISK SCORE],C10)</f>
        <v>4</v>
      </c>
      <c r="E10" s="542" t="str" cm="1">
        <f t="array" ref="E10">IF(
  SUM(COUNTIFS(RISK_table[Workstream],
    {"Compliance","Environmental","Financial","GLA Compliance","Governance","Health &amp; Safety","Procurement","Programme","Regulatory","Resourcing","Safety","Social Value","Strategic","Supply Chain","Technical"},
    RISK_table[New RISK SCORE], C10))=0,
  "No Risks In This Category",
  _xlfn.TEXTJOIN(", ", TRUE,
    IF(COUNTIFS(RISK_table[Workstream],"Compliance",RISK_table[New RISK SCORE],C10)&gt;0,"Compliance (" &amp; COUNTIFS(RISK_table[Workstream],"Compliance",RISK_table[New RISK SCORE],C10) &amp; "/" &amp; COUNTIF(RISK_table[Workstream],"Compliance") &amp; ")", ""),
    IF(COUNTIFS(RISK_table[Workstream],"Environmental",RISK_table[New RISK SCORE],C10)&gt;0,"Environmental (" &amp; COUNTIFS(RISK_table[Workstream],"Environmental",RISK_table[New RISK SCORE],C10) &amp; "/" &amp; COUNTIF(RISK_table[Workstream],"Environmental") &amp; ")", ""),
    IF(COUNTIFS(RISK_table[Workstream],"Financial",RISK_table[New RISK SCORE],C10)&gt;0,"Financial (" &amp; COUNTIFS(RISK_table[Workstream],"Financial",RISK_table[New RISK SCORE],C10) &amp; "/" &amp; COUNTIF(RISK_table[Workstream],"Financial") &amp; ")", ""),
    IF(COUNTIFS(RISK_table[Workstream],"GLA Compliance",RISK_table[New RISK SCORE],C10)&gt;0,"GLA Compliance (" &amp; COUNTIFS(RISK_table[Workstream],"GLA Compliance",RISK_table[New RISK SCORE],C10) &amp; "/" &amp; COUNTIF(RISK_table[Workstream],"GLA Compliance") &amp; ")", ""),
    IF(COUNTIFS(RISK_table[Workstream],"Governance",RISK_table[New RISK SCORE],C10)&gt;0,"Governance (" &amp; COUNTIFS(RISK_table[Workstream],"Governance",RISK_table[New RISK SCORE],C10) &amp; "/" &amp; COUNTIF(RISK_table[Workstream],"Governance") &amp; ")", ""),
    IF(COUNTIFS(RISK_table[Workstream],"Health &amp; Safety",RISK_table[New RISK SCORE],C10)&gt;0,"Health &amp; Safety (" &amp; COUNTIFS(RISK_table[Workstream],"Health &amp; Safety",RISK_table[New RISK SCORE],C10) &amp; "/" &amp; COUNTIF(RISK_table[Workstream],"Health &amp; Safety") &amp; ")", ""),
    IF(COUNTIFS(RISK_table[Workstream],"Procurement",RISK_table[New RISK SCORE],C10)&gt;0,"Procurement (" &amp; COUNTIFS(RISK_table[Workstream],"Procurement",RISK_table[New RISK SCORE],C10) &amp; "/" &amp; COUNTIF(RISK_table[Workstream],"Procurement") &amp; ")", ""),
    IF(COUNTIFS(RISK_table[Workstream],"Programme",RISK_table[New RISK SCORE],C10)&gt;0,"Programme (" &amp; COUNTIFS(RISK_table[Workstream],"Programme",RISK_table[New RISK SCORE],C10) &amp; "/" &amp; COUNTIF(RISK_table[Workstream],"Programme") &amp; ")", ""),
    IF(COUNTIFS(RISK_table[Workstream],"Regulatory",RISK_table[New RISK SCORE],C10)&gt;0,"Regulatory (" &amp; COUNTIFS(RISK_table[Workstream],"Regulatory",RISK_table[New RISK SCORE],C10) &amp; "/" &amp; COUNTIF(RISK_table[Workstream],"Regulatory") &amp; ")", ""),
    IF(COUNTIFS(RISK_table[Workstream],"Resourcing",RISK_table[New RISK SCORE],C10)&gt;0,"Resourcing (" &amp; COUNTIFS(RISK_table[Workstream],"Resourcing",RISK_table[New RISK SCORE],C10) &amp; "/" &amp; COUNTIF(RISK_table[Workstream],"Resourcing") &amp; ")", ""),
    IF(COUNTIFS(RISK_table[Workstream],"Safety",RISK_table[New RISK SCORE],C10)&gt;0,"Safety (" &amp; COUNTIFS(RISK_table[Workstream],"Safety",RISK_table[New RISK SCORE],C10) &amp; "/" &amp; COUNTIF(RISK_table[Workstream],"Safety") &amp; ")", ""),
    IF(COUNTIFS(RISK_table[Workstream],"Social Value",RISK_table[New RISK SCORE],C10)&gt;0,"Social Value (" &amp; COUNTIFS(RISK_table[Workstream],"Social Value",RISK_table[New RISK SCORE],C10) &amp; "/" &amp; COUNTIF(RISK_table[Workstream],"Social Value") &amp; ")", ""),
    IF(COUNTIFS(RISK_table[Workstream],"Strategic",RISK_table[New RISK SCORE],C10)&gt;0,"Strategic (" &amp; COUNTIFS(RISK_table[Workstream],"Strategic",RISK_table[New RISK SCORE],C10) &amp; "/" &amp; COUNTIF(RISK_table[Workstream],"Strategic") &amp; ")", ""),
    IF(COUNTIFS(RISK_table[Workstream],"Supply Chain",RISK_table[New RISK SCORE],C10)&gt;0,"Supply Chain (" &amp; COUNTIFS(RISK_table[Workstream],"Supply Chain",RISK_table[New RISK SCORE],C10) &amp; "/" &amp; COUNTIF(RISK_table[Workstream],"Supply Chain") &amp; ")", ""),
    IF(COUNTIFS(RISK_table[Workstream],"Technical",RISK_table[New RISK SCORE],C10)&gt;0,"Technical (" &amp; COUNTIFS(RISK_table[Workstream],"Technical",RISK_table[New RISK SCORE],C10) &amp; "/" &amp; COUNTIF(RISK_table[Workstream],"Technical") &amp; ")", "")
  )
)</f>
        <v>No Risks In This Category</v>
      </c>
      <c r="F10" s="729"/>
      <c r="G10" s="730"/>
      <c r="I10" s="549" t="s">
        <v>42</v>
      </c>
      <c r="J10" s="542">
        <f>COUNTIF(RISK_table[Current Status],I10)</f>
        <v>15</v>
      </c>
      <c r="K10" s="729"/>
      <c r="L10" s="730"/>
      <c r="N10" s="780"/>
      <c r="O10" s="781"/>
      <c r="P10" s="782"/>
      <c r="R10" s="566" t="s">
        <v>1820</v>
      </c>
      <c r="S10" s="541" cm="1">
        <f t="array" aca="1" ref="S10" ca="1">SUMPRODUCT((RISK_table[Date Added to Risk Register]&lt;&gt;"")*(RISK_table[Current Status]&lt;&gt;"Closed")*(DATEDIF(RISK_table[Date Added to Risk Register],TODAY(),"m")&gt;=6)*(DATEDIF(RISK_table[Date Added to Risk Register],TODAY(),"m")&lt;12))</f>
        <v>0</v>
      </c>
      <c r="T10" s="791"/>
      <c r="U10" s="782"/>
      <c r="V10" s="476"/>
    </row>
    <row r="11" spans="1:24" ht="173.1" customHeight="1">
      <c r="A11" s="721"/>
      <c r="C11" s="545" t="s">
        <v>70</v>
      </c>
      <c r="D11" s="541">
        <f>COUNTIF(RISK_table[New RISK SCORE],C11)</f>
        <v>8</v>
      </c>
      <c r="E11" s="542" t="str" cm="1">
        <f t="array" ref="E11">IF(
  SUM(COUNTIFS(RISK_table[Workstream],
    {"Compliance","Environmental","Financial","GLA Compliance","Governance","Health &amp; Safety","Procurement","Programme","Regulatory","Resourcing","Safety","Social Value","Strategic","Supply Chain","Technical"},
    RISK_table[New RISK SCORE], C11))=0,
  "No Risks In This Category",
  _xlfn.TEXTJOIN(", ", TRUE,
    IF(COUNTIFS(RISK_table[Workstream],"Compliance",RISK_table[New RISK SCORE],C11)&gt;0,"Compliance (" &amp; COUNTIFS(RISK_table[Workstream],"Compliance",RISK_table[New RISK SCORE],C11) &amp; "/" &amp; COUNTIF(RISK_table[Workstream],"Compliance") &amp; ")", ""),
    IF(COUNTIFS(RISK_table[Workstream],"Environmental",RISK_table[New RISK SCORE],C11)&gt;0,"Environmental (" &amp; COUNTIFS(RISK_table[Workstream],"Environmental",RISK_table[New RISK SCORE],C11) &amp; "/" &amp; COUNTIF(RISK_table[Workstream],"Environmental") &amp; ")", ""),
    IF(COUNTIFS(RISK_table[Workstream],"Financial",RISK_table[New RISK SCORE],C11)&gt;0,"Financial (" &amp; COUNTIFS(RISK_table[Workstream],"Financial",RISK_table[New RISK SCORE],C11) &amp; "/" &amp; COUNTIF(RISK_table[Workstream],"Financial") &amp; ")", ""),
    IF(COUNTIFS(RISK_table[Workstream],"GLA Compliance",RISK_table[New RISK SCORE],C11)&gt;0,"GLA Compliance (" &amp; COUNTIFS(RISK_table[Workstream],"GLA Compliance",RISK_table[New RISK SCORE],C11) &amp; "/" &amp; COUNTIF(RISK_table[Workstream],"GLA Compliance") &amp; ")", ""),
    IF(COUNTIFS(RISK_table[Workstream],"Governance",RISK_table[New RISK SCORE],C11)&gt;0,"Governance (" &amp; COUNTIFS(RISK_table[Workstream],"Governance",RISK_table[New RISK SCORE],C11) &amp; "/" &amp; COUNTIF(RISK_table[Workstream],"Governance") &amp; ")", ""),
    IF(COUNTIFS(RISK_table[Workstream],"Health &amp; Safety",RISK_table[New RISK SCORE],C11)&gt;0,"Health &amp; Safety (" &amp; COUNTIFS(RISK_table[Workstream],"Health &amp; Safety",RISK_table[New RISK SCORE],C11) &amp; "/" &amp; COUNTIF(RISK_table[Workstream],"Health &amp; Safety") &amp; ")", ""),
    IF(COUNTIFS(RISK_table[Workstream],"Procurement",RISK_table[New RISK SCORE],C11)&gt;0,"Procurement (" &amp; COUNTIFS(RISK_table[Workstream],"Procurement",RISK_table[New RISK SCORE],C11) &amp; "/" &amp; COUNTIF(RISK_table[Workstream],"Procurement") &amp; ")", ""),
    IF(COUNTIFS(RISK_table[Workstream],"Programme",RISK_table[New RISK SCORE],C11)&gt;0,"Programme (" &amp; COUNTIFS(RISK_table[Workstream],"Programme",RISK_table[New RISK SCORE],C11) &amp; "/" &amp; COUNTIF(RISK_table[Workstream],"Programme") &amp; ")", ""),
    IF(COUNTIFS(RISK_table[Workstream],"Regulatory",RISK_table[New RISK SCORE],C11)&gt;0,"Regulatory (" &amp; COUNTIFS(RISK_table[Workstream],"Regulatory",RISK_table[New RISK SCORE],C11) &amp; "/" &amp; COUNTIF(RISK_table[Workstream],"Regulatory") &amp; ")", ""),
    IF(COUNTIFS(RISK_table[Workstream],"Resourcing",RISK_table[New RISK SCORE],C11)&gt;0,"Resourcing (" &amp; COUNTIFS(RISK_table[Workstream],"Resourcing",RISK_table[New RISK SCORE],C11) &amp; "/" &amp; COUNTIF(RISK_table[Workstream],"Resourcing") &amp; ")", ""),
    IF(COUNTIFS(RISK_table[Workstream],"Safety",RISK_table[New RISK SCORE],C11)&gt;0,"Safety (" &amp; COUNTIFS(RISK_table[Workstream],"Safety",RISK_table[New RISK SCORE],C11) &amp; "/" &amp; COUNTIF(RISK_table[Workstream],"Safety") &amp; ")", ""),
    IF(COUNTIFS(RISK_table[Workstream],"Social Value",RISK_table[New RISK SCORE],C11)&gt;0,"Social Value (" &amp; COUNTIFS(RISK_table[Workstream],"Social Value",RISK_table[New RISK SCORE],C11) &amp; "/" &amp; COUNTIF(RISK_table[Workstream],"Social Value") &amp; ")", ""),
    IF(COUNTIFS(RISK_table[Workstream],"Strategic",RISK_table[New RISK SCORE],C11)&gt;0,"Strategic (" &amp; COUNTIFS(RISK_table[Workstream],"Strategic",RISK_table[New RISK SCORE],C11) &amp; "/" &amp; COUNTIF(RISK_table[Workstream],"Strategic") &amp; ")", ""),
    IF(COUNTIFS(RISK_table[Workstream],"Supply Chain",RISK_table[New RISK SCORE],C11)&gt;0,"Supply Chain (" &amp; COUNTIFS(RISK_table[Workstream],"Supply Chain",RISK_table[New RISK SCORE],C11) &amp; "/" &amp; COUNTIF(RISK_table[Workstream],"Supply Chain") &amp; ")", ""),
    IF(COUNTIFS(RISK_table[Workstream],"Technical",RISK_table[New RISK SCORE],C11)&gt;0,"Technical (" &amp; COUNTIFS(RISK_table[Workstream],"Technical",RISK_table[New RISK SCORE],C11) &amp; "/" &amp; COUNTIF(RISK_table[Workstream],"Technical") &amp; ")", "")
  )
)</f>
        <v>No Risks In This Category</v>
      </c>
      <c r="F11" s="729"/>
      <c r="G11" s="730"/>
      <c r="I11" s="549" t="s">
        <v>50</v>
      </c>
      <c r="J11" s="542">
        <f>COUNTIF(RISK_table[Current Status],I11)</f>
        <v>3</v>
      </c>
      <c r="K11" s="729"/>
      <c r="L11" s="730"/>
      <c r="N11" s="780"/>
      <c r="O11" s="781"/>
      <c r="P11" s="782"/>
      <c r="R11" s="566" t="s">
        <v>1821</v>
      </c>
      <c r="S11" s="541" cm="1">
        <f t="array" aca="1" ref="S11" ca="1">SUMPRODUCT((RISK_table[Date Added to Risk Register]&lt;&gt;"")*(RISK_table[Current Status]&lt;&gt;"Closed")*(DATEDIF(RISK_table[Date Added to Risk Register],TODAY(),"m")&gt;=12)*(DATEDIF(RISK_table[Date Added to Risk Register],TODAY(),"m")&lt;24))</f>
        <v>14</v>
      </c>
      <c r="T11" s="791"/>
      <c r="U11" s="782"/>
      <c r="V11" s="476"/>
    </row>
    <row r="12" spans="1:24" ht="173.1" customHeight="1" thickBot="1">
      <c r="A12" s="721"/>
      <c r="C12" s="546" t="s">
        <v>69</v>
      </c>
      <c r="D12" s="556">
        <f>COUNTIF(RISK_table[New RISK SCORE],C12)</f>
        <v>2</v>
      </c>
      <c r="E12" s="548" t="str" cm="1">
        <f t="array" ref="E12">IF(
  SUM(COUNTIFS(RISK_table[Workstream],
    {"Compliance","Environmental","Financial","GLA Compliance","Governance","Health &amp; Safety","Procurement","Programme","Regulatory","Resourcing","Safety","Social Value","Strategic","Supply Chain","Technical"},
    RISK_table[New RISK SCORE], C12))=0,
  "No Risks In This Category",
  _xlfn.TEXTJOIN(", ", TRUE,
    IF(COUNTIFS(RISK_table[Workstream],"Compliance",RISK_table[New RISK SCORE],C12)&gt;0,"Compliance (" &amp; COUNTIFS(RISK_table[Workstream],"Compliance",RISK_table[New RISK SCORE],C12) &amp; "/" &amp; COUNTIF(RISK_table[Workstream],"Compliance") &amp; ")", ""),
    IF(COUNTIFS(RISK_table[Workstream],"Environmental",RISK_table[New RISK SCORE],C12)&gt;0,"Environmental (" &amp; COUNTIFS(RISK_table[Workstream],"Environmental",RISK_table[New RISK SCORE],C12) &amp; "/" &amp; COUNTIF(RISK_table[Workstream],"Environmental") &amp; ")", ""),
    IF(COUNTIFS(RISK_table[Workstream],"Financial",RISK_table[New RISK SCORE],C12)&gt;0,"Financial (" &amp; COUNTIFS(RISK_table[Workstream],"Financial",RISK_table[New RISK SCORE],C12) &amp; "/" &amp; COUNTIF(RISK_table[Workstream],"Financial") &amp; ")", ""),
    IF(COUNTIFS(RISK_table[Workstream],"GLA Compliance",RISK_table[New RISK SCORE],C12)&gt;0,"GLA Compliance (" &amp; COUNTIFS(RISK_table[Workstream],"GLA Compliance",RISK_table[New RISK SCORE],C12) &amp; "/" &amp; COUNTIF(RISK_table[Workstream],"GLA Compliance") &amp; ")", ""),
    IF(COUNTIFS(RISK_table[Workstream],"Governance",RISK_table[New RISK SCORE],C12)&gt;0,"Governance (" &amp; COUNTIFS(RISK_table[Workstream],"Governance",RISK_table[New RISK SCORE],C12) &amp; "/" &amp; COUNTIF(RISK_table[Workstream],"Governance") &amp; ")", ""),
    IF(COUNTIFS(RISK_table[Workstream],"Health &amp; Safety",RISK_table[New RISK SCORE],C12)&gt;0,"Health &amp; Safety (" &amp; COUNTIFS(RISK_table[Workstream],"Health &amp; Safety",RISK_table[New RISK SCORE],C12) &amp; "/" &amp; COUNTIF(RISK_table[Workstream],"Health &amp; Safety") &amp; ")", ""),
    IF(COUNTIFS(RISK_table[Workstream],"Procurement",RISK_table[New RISK SCORE],C12)&gt;0,"Procurement (" &amp; COUNTIFS(RISK_table[Workstream],"Procurement",RISK_table[New RISK SCORE],C12) &amp; "/" &amp; COUNTIF(RISK_table[Workstream],"Procurement") &amp; ")", ""),
    IF(COUNTIFS(RISK_table[Workstream],"Programme",RISK_table[New RISK SCORE],C12)&gt;0,"Programme (" &amp; COUNTIFS(RISK_table[Workstream],"Programme",RISK_table[New RISK SCORE],C12) &amp; "/" &amp; COUNTIF(RISK_table[Workstream],"Programme") &amp; ")", ""),
    IF(COUNTIFS(RISK_table[Workstream],"Regulatory",RISK_table[New RISK SCORE],C12)&gt;0,"Regulatory (" &amp; COUNTIFS(RISK_table[Workstream],"Regulatory",RISK_table[New RISK SCORE],C12) &amp; "/" &amp; COUNTIF(RISK_table[Workstream],"Regulatory") &amp; ")", ""),
    IF(COUNTIFS(RISK_table[Workstream],"Resourcing",RISK_table[New RISK SCORE],C12)&gt;0,"Resourcing (" &amp; COUNTIFS(RISK_table[Workstream],"Resourcing",RISK_table[New RISK SCORE],C12) &amp; "/" &amp; COUNTIF(RISK_table[Workstream],"Resourcing") &amp; ")", ""),
    IF(COUNTIFS(RISK_table[Workstream],"Safety",RISK_table[New RISK SCORE],C12)&gt;0,"Safety (" &amp; COUNTIFS(RISK_table[Workstream],"Safety",RISK_table[New RISK SCORE],C12) &amp; "/" &amp; COUNTIF(RISK_table[Workstream],"Safety") &amp; ")", ""),
    IF(COUNTIFS(RISK_table[Workstream],"Social Value",RISK_table[New RISK SCORE],C12)&gt;0,"Social Value (" &amp; COUNTIFS(RISK_table[Workstream],"Social Value",RISK_table[New RISK SCORE],C12) &amp; "/" &amp; COUNTIF(RISK_table[Workstream],"Social Value") &amp; ")", ""),
    IF(COUNTIFS(RISK_table[Workstream],"Strategic",RISK_table[New RISK SCORE],C12)&gt;0,"Strategic (" &amp; COUNTIFS(RISK_table[Workstream],"Strategic",RISK_table[New RISK SCORE],C12) &amp; "/" &amp; COUNTIF(RISK_table[Workstream],"Strategic") &amp; ")", ""),
    IF(COUNTIFS(RISK_table[Workstream],"Supply Chain",RISK_table[New RISK SCORE],C12)&gt;0,"Supply Chain (" &amp; COUNTIFS(RISK_table[Workstream],"Supply Chain",RISK_table[New RISK SCORE],C12) &amp; "/" &amp; COUNTIF(RISK_table[Workstream],"Supply Chain") &amp; ")", ""),
    IF(COUNTIFS(RISK_table[Workstream],"Technical",RISK_table[New RISK SCORE],C12)&gt;0,"Technical (" &amp; COUNTIFS(RISK_table[Workstream],"Technical",RISK_table[New RISK SCORE],C12) &amp; "/" &amp; COUNTIF(RISK_table[Workstream],"Technical") &amp; ")", "")
  )
)</f>
        <v>No Risks In This Category</v>
      </c>
      <c r="F12" s="742"/>
      <c r="G12" s="733"/>
      <c r="I12" s="550" t="s">
        <v>55</v>
      </c>
      <c r="J12" s="548">
        <f>COUNTIF(RISK_table[Current Status],I12)</f>
        <v>2</v>
      </c>
      <c r="K12" s="742"/>
      <c r="L12" s="733"/>
      <c r="N12" s="783"/>
      <c r="O12" s="784"/>
      <c r="P12" s="785"/>
      <c r="R12" s="567" t="s">
        <v>1827</v>
      </c>
      <c r="S12" s="556" cm="1">
        <f t="array" aca="1" ref="S12" ca="1">SUMPRODUCT((RISK_table[Date Added to Risk Register]&lt;&gt;"")*(RISK_table[Current Status]&lt;&gt;"Closed")*(DATEDIF(RISK_table[Date Added to Risk Register],TODAY(),"m")&gt;=24))</f>
        <v>10</v>
      </c>
      <c r="T12" s="792"/>
      <c r="U12" s="785"/>
      <c r="V12" s="476"/>
    </row>
    <row r="13" spans="1:24" ht="37.35" customHeight="1" thickBot="1">
      <c r="A13" s="722"/>
      <c r="B13" s="479"/>
      <c r="C13" s="480"/>
      <c r="D13" s="481"/>
      <c r="E13" s="481"/>
      <c r="F13" s="481"/>
      <c r="G13" s="480"/>
      <c r="H13" s="480"/>
      <c r="I13" s="482"/>
      <c r="J13" s="481"/>
      <c r="K13" s="479"/>
      <c r="L13" s="479"/>
      <c r="M13" s="479"/>
      <c r="N13" s="479"/>
      <c r="O13" s="479"/>
      <c r="P13" s="479"/>
      <c r="Q13" s="479"/>
      <c r="R13" s="479"/>
      <c r="S13" s="479"/>
      <c r="T13" s="479"/>
      <c r="U13" s="479"/>
      <c r="V13" s="483"/>
    </row>
    <row r="14" spans="1:24" ht="37.35" customHeight="1" thickBot="1">
      <c r="A14" s="484"/>
      <c r="B14" s="577"/>
      <c r="C14" s="580"/>
      <c r="D14" s="581"/>
      <c r="E14" s="581"/>
      <c r="F14" s="581"/>
      <c r="G14" s="580"/>
      <c r="H14" s="580"/>
      <c r="I14" s="582"/>
      <c r="J14" s="581"/>
      <c r="K14" s="577"/>
      <c r="L14" s="577"/>
      <c r="M14" s="577"/>
      <c r="N14" s="577"/>
      <c r="O14" s="577"/>
      <c r="P14" s="577"/>
      <c r="Q14" s="577"/>
      <c r="R14" s="577"/>
      <c r="S14" s="577"/>
      <c r="T14" s="577"/>
      <c r="U14" s="577"/>
      <c r="V14" s="577"/>
    </row>
    <row r="15" spans="1:24" ht="37.35" customHeight="1" thickBot="1">
      <c r="A15" s="720" t="s">
        <v>1833</v>
      </c>
      <c r="B15" s="474"/>
      <c r="C15" s="499"/>
      <c r="D15" s="500"/>
      <c r="E15" s="500"/>
      <c r="F15" s="500"/>
      <c r="G15" s="499"/>
      <c r="H15" s="499"/>
      <c r="I15" s="501"/>
      <c r="J15" s="500"/>
      <c r="K15" s="474"/>
      <c r="L15" s="474"/>
      <c r="M15" s="474"/>
      <c r="N15" s="474"/>
      <c r="O15" s="474"/>
      <c r="P15" s="474"/>
      <c r="Q15" s="474"/>
      <c r="R15" s="474"/>
      <c r="S15" s="474"/>
      <c r="T15" s="474"/>
      <c r="U15" s="474"/>
      <c r="V15" s="475"/>
    </row>
    <row r="16" spans="1:24" ht="37.35" customHeight="1">
      <c r="A16" s="721"/>
      <c r="C16" s="827" t="s">
        <v>1641</v>
      </c>
      <c r="D16" s="828"/>
      <c r="E16" s="828"/>
      <c r="F16" s="723" t="s">
        <v>1255</v>
      </c>
      <c r="G16" s="724"/>
      <c r="H16" s="485"/>
      <c r="I16" s="734" t="s">
        <v>1643</v>
      </c>
      <c r="J16" s="736"/>
      <c r="K16" s="723" t="s">
        <v>1255</v>
      </c>
      <c r="L16" s="724"/>
      <c r="N16" s="786" t="s">
        <v>1831</v>
      </c>
      <c r="O16" s="787"/>
      <c r="P16" s="793" t="s">
        <v>1825</v>
      </c>
      <c r="Q16" s="793"/>
      <c r="R16" s="793"/>
      <c r="S16" s="793"/>
      <c r="T16" s="793"/>
      <c r="U16" s="794"/>
      <c r="V16" s="477"/>
    </row>
    <row r="17" spans="1:22" ht="158.1" customHeight="1" thickBot="1">
      <c r="A17" s="721"/>
      <c r="C17" s="829"/>
      <c r="D17" s="756"/>
      <c r="E17" s="756"/>
      <c r="F17" s="725"/>
      <c r="G17" s="726"/>
      <c r="H17" s="485"/>
      <c r="I17" s="737"/>
      <c r="J17" s="739"/>
      <c r="K17" s="740"/>
      <c r="L17" s="741"/>
      <c r="N17" s="788"/>
      <c r="O17" s="789"/>
      <c r="P17" s="820"/>
      <c r="Q17" s="820"/>
      <c r="R17" s="820"/>
      <c r="S17" s="820"/>
      <c r="T17" s="820"/>
      <c r="U17" s="821"/>
      <c r="V17" s="477"/>
    </row>
    <row r="18" spans="1:22" ht="166.5" customHeight="1">
      <c r="A18" s="721"/>
      <c r="C18" s="829"/>
      <c r="D18" s="756"/>
      <c r="E18" s="756"/>
      <c r="F18" s="727"/>
      <c r="G18" s="728"/>
      <c r="H18" s="485"/>
      <c r="I18" s="547" t="s">
        <v>1147</v>
      </c>
      <c r="J18" s="539" t="s">
        <v>1148</v>
      </c>
      <c r="K18" s="729"/>
      <c r="L18" s="730"/>
      <c r="N18" s="565" t="s">
        <v>1823</v>
      </c>
      <c r="O18" s="557" t="s">
        <v>1824</v>
      </c>
      <c r="P18" s="791"/>
      <c r="Q18" s="781"/>
      <c r="R18" s="781"/>
      <c r="S18" s="781"/>
      <c r="T18" s="781"/>
      <c r="U18" s="782"/>
      <c r="V18" s="477"/>
    </row>
    <row r="19" spans="1:22" ht="144.6" customHeight="1">
      <c r="A19" s="721"/>
      <c r="C19" s="829"/>
      <c r="D19" s="756"/>
      <c r="E19" s="756"/>
      <c r="F19" s="729"/>
      <c r="G19" s="730"/>
      <c r="H19" s="485"/>
      <c r="I19" s="549" t="s">
        <v>374</v>
      </c>
      <c r="J19" s="542">
        <v>1</v>
      </c>
      <c r="K19" s="729"/>
      <c r="L19" s="730"/>
      <c r="N19" s="566" t="s">
        <v>1826</v>
      </c>
      <c r="O19" s="541" cm="1">
        <f t="array" aca="1" ref="O19" ca="1">SUMPRODUCT(
 --ISNUMBER(Issues_table[Date Added to Issues Log]),
 --(Issues_table[Status]&lt;&gt;"4. Resolved"),
 --(Issues_table[Status]&lt;&gt;"5. Unassigned"),
 --(Issues_table[Date Added to Issues Log]&gt;=EDATE(TODAY(),-3)),
 --(Issues_table[Date Added to Issues Log]&lt;=TODAY())
)</f>
        <v>0</v>
      </c>
      <c r="P19" s="791"/>
      <c r="Q19" s="781"/>
      <c r="R19" s="781"/>
      <c r="S19" s="781"/>
      <c r="T19" s="781"/>
      <c r="U19" s="782"/>
      <c r="V19" s="477"/>
    </row>
    <row r="20" spans="1:22" ht="144.6" customHeight="1" thickBot="1">
      <c r="A20" s="721"/>
      <c r="C20" s="537" t="s">
        <v>1642</v>
      </c>
      <c r="D20" s="743" t="s">
        <v>1148</v>
      </c>
      <c r="E20" s="744"/>
      <c r="F20" s="731"/>
      <c r="G20" s="730"/>
      <c r="H20" s="485"/>
      <c r="I20" s="549" t="s">
        <v>207</v>
      </c>
      <c r="J20" s="542">
        <f>COUNTIF(Issues_table[Status],I20)</f>
        <v>6</v>
      </c>
      <c r="K20" s="729"/>
      <c r="L20" s="730"/>
      <c r="N20" s="566" t="s">
        <v>1819</v>
      </c>
      <c r="O20" s="541" cm="1">
        <f t="array" aca="1" ref="O20" ca="1">SUMPRODUCT(
 --ISNUMBER(Issues_table[Date Added to Issues Log]),
 --(Issues_table[Status]&lt;&gt;"4. Resolved"),
 --(Issues_table[Status]&lt;&gt;"5. Unassigned"),
 --(Issues_table[Date Added to Issues Log]&gt;=EDATE(TODAY(),-6)),
 --(Issues_table[Date Added to Issues Log]&lt;EDATE(TODAY(),-3))
)</f>
        <v>0</v>
      </c>
      <c r="P20" s="791"/>
      <c r="Q20" s="781"/>
      <c r="R20" s="781"/>
      <c r="S20" s="781"/>
      <c r="T20" s="781"/>
      <c r="U20" s="782"/>
      <c r="V20" s="477"/>
    </row>
    <row r="21" spans="1:22" ht="144.6" customHeight="1" thickBot="1">
      <c r="A21" s="721"/>
      <c r="C21" s="568" t="s">
        <v>359</v>
      </c>
      <c r="D21" s="745">
        <f>COUNTIF(Issues_table[ISSUE SCORE],C21)</f>
        <v>8</v>
      </c>
      <c r="E21" s="746"/>
      <c r="F21" s="731"/>
      <c r="G21" s="730"/>
      <c r="H21" s="485"/>
      <c r="I21" s="549" t="s">
        <v>114</v>
      </c>
      <c r="J21" s="542">
        <f>COUNTIF(Issues_table[Status],I21)</f>
        <v>24</v>
      </c>
      <c r="K21" s="729"/>
      <c r="L21" s="730"/>
      <c r="N21" s="566" t="s">
        <v>1820</v>
      </c>
      <c r="O21" s="541" cm="1">
        <f t="array" aca="1" ref="O21" ca="1">SUMPRODUCT(
 --ISNUMBER(Issues_table[Date Added to Issues Log]),
 --(Issues_table[Status]&lt;&gt;"4. Resolved"),
 --(Issues_table[Status]&lt;&gt;"5. Unassigned"),
 --(Issues_table[Date Added to Issues Log]&gt;=EDATE(TODAY(),-12)),
 --(Issues_table[Date Added to Issues Log]&lt;EDATE(TODAY(),-6))
)</f>
        <v>23</v>
      </c>
      <c r="P21" s="791"/>
      <c r="Q21" s="781"/>
      <c r="R21" s="781"/>
      <c r="S21" s="781"/>
      <c r="T21" s="781"/>
      <c r="U21" s="782"/>
      <c r="V21" s="477"/>
    </row>
    <row r="22" spans="1:22" ht="144.6" customHeight="1" thickBot="1">
      <c r="A22" s="721"/>
      <c r="C22" s="569" t="s">
        <v>253</v>
      </c>
      <c r="D22" s="745">
        <f>COUNTIF(Issues_table[ISSUE SCORE],C22)</f>
        <v>15</v>
      </c>
      <c r="E22" s="746"/>
      <c r="F22" s="731"/>
      <c r="G22" s="730"/>
      <c r="H22" s="485"/>
      <c r="I22" s="549" t="s">
        <v>110</v>
      </c>
      <c r="J22" s="542">
        <f>COUNTIF(Issues_table[Status],I22)</f>
        <v>51</v>
      </c>
      <c r="K22" s="729"/>
      <c r="L22" s="730"/>
      <c r="N22" s="566" t="s">
        <v>1821</v>
      </c>
      <c r="O22" s="541" cm="1">
        <f t="array" aca="1" ref="O22" ca="1">SUMPRODUCT(
 --ISNUMBER(Issues_table[Date Added to Issues Log]),
 --(Issues_table[Status]&lt;&gt;"4. Resolved"),
 --(Issues_table[Status]&lt;&gt;"5. Unassigned"),
 --(Issues_table[Date Added to Issues Log]&gt;=EDATE(TODAY(),-24)),
 --(Issues_table[Date Added to Issues Log]&lt;EDATE(TODAY(),-12))
)</f>
        <v>2</v>
      </c>
      <c r="P22" s="791"/>
      <c r="Q22" s="781"/>
      <c r="R22" s="781"/>
      <c r="S22" s="781"/>
      <c r="T22" s="781"/>
      <c r="U22" s="782"/>
      <c r="V22" s="477"/>
    </row>
    <row r="23" spans="1:22" ht="144.6" customHeight="1" thickBot="1">
      <c r="A23" s="721"/>
      <c r="C23" s="570" t="s">
        <v>361</v>
      </c>
      <c r="D23" s="745">
        <f>COUNTIF(Issues_table[ISSUE SCORE],C23)</f>
        <v>7</v>
      </c>
      <c r="E23" s="746"/>
      <c r="F23" s="732"/>
      <c r="G23" s="733"/>
      <c r="H23" s="485"/>
      <c r="I23" s="550" t="s">
        <v>384</v>
      </c>
      <c r="J23" s="548">
        <v>1</v>
      </c>
      <c r="K23" s="742"/>
      <c r="L23" s="733"/>
      <c r="N23" s="567" t="s">
        <v>1827</v>
      </c>
      <c r="O23" s="556" cm="1">
        <f t="array" aca="1" ref="O23" ca="1">SUMPRODUCT(
 --ISNUMBER(Issues_table[Date Added to Issues Log]),
 --(Issues_table[Status]&lt;&gt;"4. Resolved"),
 --(Issues_table[Status]&lt;&gt;"5. Unassigned"),
 --(Issues_table[Date Added to Issues Log]&lt;EDATE(TODAY(),-24))
)</f>
        <v>5</v>
      </c>
      <c r="P23" s="792"/>
      <c r="Q23" s="784"/>
      <c r="R23" s="784"/>
      <c r="S23" s="784"/>
      <c r="T23" s="784"/>
      <c r="U23" s="785"/>
      <c r="V23" s="477"/>
    </row>
    <row r="24" spans="1:22" ht="37.35" customHeight="1">
      <c r="A24" s="721"/>
      <c r="C24" s="485"/>
      <c r="D24" s="486"/>
      <c r="E24" s="486"/>
      <c r="F24" s="486"/>
      <c r="G24" s="485"/>
      <c r="H24" s="485"/>
      <c r="I24" s="498"/>
      <c r="J24" s="486"/>
      <c r="V24" s="477"/>
    </row>
    <row r="25" spans="1:22" ht="37.35" customHeight="1" thickBot="1">
      <c r="A25" s="722"/>
      <c r="B25" s="478"/>
      <c r="C25" s="502"/>
      <c r="D25" s="503"/>
      <c r="E25" s="503"/>
      <c r="F25" s="503"/>
      <c r="G25" s="502"/>
      <c r="H25" s="502"/>
      <c r="I25" s="504"/>
      <c r="J25" s="503"/>
      <c r="K25" s="478"/>
      <c r="L25" s="478"/>
      <c r="M25" s="478"/>
      <c r="N25" s="478"/>
      <c r="O25" s="478"/>
      <c r="P25" s="478"/>
      <c r="Q25" s="478"/>
      <c r="R25" s="478"/>
      <c r="S25" s="478"/>
      <c r="T25" s="478"/>
      <c r="U25" s="478"/>
      <c r="V25" s="435"/>
    </row>
    <row r="26" spans="1:22" ht="37.5" customHeight="1" thickBot="1">
      <c r="A26" s="484"/>
      <c r="B26" s="577"/>
      <c r="C26" s="579"/>
      <c r="D26" s="580"/>
      <c r="E26" s="581"/>
      <c r="F26" s="581"/>
      <c r="G26" s="581"/>
      <c r="H26" s="580"/>
      <c r="I26" s="578"/>
      <c r="J26" s="577"/>
      <c r="K26" s="577"/>
      <c r="L26" s="577"/>
      <c r="M26" s="577"/>
      <c r="N26" s="577"/>
      <c r="O26" s="577"/>
      <c r="P26" s="577"/>
      <c r="Q26" s="577"/>
      <c r="R26" s="577"/>
      <c r="S26" s="577"/>
      <c r="T26" s="577"/>
      <c r="U26" s="577"/>
      <c r="V26" s="577"/>
    </row>
    <row r="27" spans="1:22" ht="37.5" customHeight="1" thickTop="1" thickBot="1">
      <c r="A27" s="747" t="s">
        <v>1242</v>
      </c>
      <c r="B27" s="470"/>
      <c r="C27" s="470"/>
      <c r="D27" s="470"/>
      <c r="E27" s="470"/>
      <c r="F27" s="470"/>
      <c r="G27" s="487"/>
      <c r="H27" s="470"/>
      <c r="I27" s="488"/>
      <c r="J27" s="470"/>
      <c r="K27" s="470"/>
      <c r="L27" s="470"/>
      <c r="M27" s="470"/>
      <c r="N27" s="470"/>
      <c r="O27" s="470"/>
      <c r="P27" s="470"/>
      <c r="Q27" s="470"/>
      <c r="R27" s="470"/>
      <c r="S27" s="470"/>
      <c r="T27" s="470"/>
      <c r="U27" s="470"/>
      <c r="V27" s="473"/>
    </row>
    <row r="28" spans="1:22" ht="196.5" customHeight="1">
      <c r="A28" s="748"/>
      <c r="C28" s="756" t="s">
        <v>1146</v>
      </c>
      <c r="D28" s="756"/>
      <c r="E28" s="756"/>
      <c r="F28" s="723" t="s">
        <v>1255</v>
      </c>
      <c r="G28" s="724"/>
      <c r="I28" s="824" t="s">
        <v>1256</v>
      </c>
      <c r="J28" s="825"/>
      <c r="K28" s="825"/>
      <c r="L28" s="826"/>
      <c r="M28" s="560"/>
      <c r="O28"/>
      <c r="P28"/>
      <c r="Q28"/>
      <c r="R28"/>
      <c r="S28"/>
      <c r="T28"/>
      <c r="U28"/>
      <c r="V28" s="476"/>
    </row>
    <row r="29" spans="1:22" ht="196.5" customHeight="1" thickBot="1">
      <c r="A29" s="748"/>
      <c r="C29" s="756"/>
      <c r="D29" s="756"/>
      <c r="E29" s="756"/>
      <c r="F29" s="740"/>
      <c r="G29" s="741"/>
      <c r="I29" s="547" t="s">
        <v>437</v>
      </c>
      <c r="J29" s="572" t="s">
        <v>393</v>
      </c>
      <c r="K29" s="573" t="s">
        <v>466</v>
      </c>
      <c r="L29" s="573" t="s">
        <v>389</v>
      </c>
      <c r="M29" s="559"/>
      <c r="N29" s="558"/>
      <c r="O29"/>
      <c r="P29"/>
      <c r="Q29"/>
      <c r="R29"/>
      <c r="S29"/>
      <c r="T29"/>
      <c r="U29"/>
      <c r="V29" s="476"/>
    </row>
    <row r="30" spans="1:22" ht="196.5" customHeight="1">
      <c r="A30" s="748"/>
      <c r="C30" s="765" t="s">
        <v>1147</v>
      </c>
      <c r="D30" s="765" t="s">
        <v>1148</v>
      </c>
      <c r="E30" s="765" t="s">
        <v>1149</v>
      </c>
      <c r="F30" s="727"/>
      <c r="G30" s="728"/>
      <c r="I30" s="549" t="s">
        <v>1662</v>
      </c>
      <c r="J30" s="563">
        <f>COUNTIFS(KRI_monthly[Workstream],I30,KRI_monthly[Status],$J$29)</f>
        <v>1</v>
      </c>
      <c r="K30" s="564">
        <f>COUNTIFS(KRI_monthly[Workstream],I30,KRI_monthly[Status],$K$29)</f>
        <v>0</v>
      </c>
      <c r="L30" s="583">
        <f>COUNTIFS(KRI_monthly[Workstream],I30,KRI_monthly[Status],$L$29)</f>
        <v>0</v>
      </c>
      <c r="M30"/>
      <c r="O30"/>
      <c r="P30"/>
      <c r="Q30"/>
      <c r="R30"/>
      <c r="S30"/>
      <c r="T30"/>
      <c r="U30"/>
      <c r="V30" s="476"/>
    </row>
    <row r="31" spans="1:22" ht="196.5" customHeight="1">
      <c r="A31" s="748"/>
      <c r="C31" s="765"/>
      <c r="D31" s="765"/>
      <c r="E31" s="765"/>
      <c r="F31" s="729"/>
      <c r="G31" s="730"/>
      <c r="I31" s="549" t="s">
        <v>1656</v>
      </c>
      <c r="J31" s="563">
        <f>COUNTIFS(KRI_monthly[Workstream],I31,KRI_monthly[Status],$J$29)</f>
        <v>1</v>
      </c>
      <c r="K31" s="564">
        <f>COUNTIFS(KRI_monthly[Workstream],I31,KRI_monthly[Status],$K$29)</f>
        <v>0</v>
      </c>
      <c r="L31" s="583">
        <f>COUNTIFS(KRI_monthly[Workstream],I31,KRI_monthly[Status],$L$29)</f>
        <v>0</v>
      </c>
      <c r="M31"/>
      <c r="O31"/>
      <c r="P31"/>
      <c r="Q31"/>
      <c r="R31"/>
      <c r="S31"/>
      <c r="T31"/>
      <c r="U31"/>
      <c r="V31" s="476"/>
    </row>
    <row r="32" spans="1:22" ht="196.5" customHeight="1">
      <c r="A32" s="748"/>
      <c r="C32" s="643" t="s">
        <v>1667</v>
      </c>
      <c r="D32" s="541">
        <f>COUNTIF(KRI_monthly[Status],"Red")</f>
        <v>8</v>
      </c>
      <c r="E32" s="541" t="str" cm="1">
        <f t="array" ref="E32">IF(
  SUM(COUNTIFS(KRI_monthly[Workstream],
    {"Compliance","Environmental","Financial","GLA Compliance","Governance","Health &amp; Safety","Procurement","Programme","Regulatory","Resourcing","Safety","Social Value","Strategic","Supply Chain","Technical"},
    KRI_monthly[Status],"Red"))=0,
  "No Metrics In This Category",
  _xlfn.TEXTJOIN(", ",TRUE,
    IF(COUNTIFS(KRI_monthly[Workstream],"Compliance",KRI_monthly[Status],"Red")&gt;0,"Compliance (" &amp; COUNTIFS(KRI_monthly[Workstream],"Compliance",KRI_monthly[Status],"Red") &amp; "/" &amp; COUNTIF(KRI_monthly[Workstream],"Compliance") &amp; ")", ""),
    IF(COUNTIFS(KRI_monthly[Workstream],"Environmental",KRI_monthly[Status],"Red")&gt;0,"Environmental (" &amp; COUNTIFS(KRI_monthly[Workstream],"Environmental",KRI_monthly[Status],"Red") &amp; "/" &amp; COUNTIF(KRI_monthly[Workstream],"Environmental") &amp; ")", ""),
    IF(COUNTIFS(KRI_monthly[Workstream],"Financial",KRI_monthly[Status],"Red")&gt;0,"Financial (" &amp; COUNTIFS(KRI_monthly[Workstream],"Financial",KRI_monthly[Status],"Red") &amp; "/" &amp; COUNTIF(KRI_monthly[Workstream],"Financial") &amp; ")", ""),
    IF(COUNTIFS(KRI_monthly[Workstream],"GLA Compliance",KRI_monthly[Status],"Red")&gt;0,"GLA Compliance (" &amp; COUNTIFS(KRI_monthly[Workstream],"GLA Compliance",KRI_monthly[Status],"Red") &amp; "/" &amp; COUNTIF(KRI_monthly[Workstream],"GLA Compliance") &amp; ")", ""),
    IF(COUNTIFS(KRI_monthly[Workstream],"Governance",KRI_monthly[Status],"Red")&gt;0,"Governance (" &amp; COUNTIFS(KRI_monthly[Workstream],"Governance",KRI_monthly[Status],"Red") &amp; "/" &amp; COUNTIF(KRI_monthly[Workstream],"Governance") &amp; ")", ""),
    IF(COUNTIFS(KRI_monthly[Workstream],"Health &amp; Safety",KRI_monthly[Status],"Red")&gt;0,"Health &amp; Safety (" &amp; COUNTIFS(KRI_monthly[Workstream],"Health &amp; Safety",KRI_monthly[Status],"Red") &amp; "/" &amp; COUNTIF(KRI_monthly[Workstream],"Health &amp; Safety") &amp; ")", ""),
    IF(COUNTIFS(KRI_monthly[Workstream],"Procurement",KRI_monthly[Status],"Red")&gt;0,"Procurement (" &amp; COUNTIFS(KRI_monthly[Workstream],"Procurement",KRI_monthly[Status],"Red") &amp; "/" &amp; COUNTIF(KRI_monthly[Workstream],"Procurement") &amp; ")", ""),
    IF(COUNTIFS(KRI_monthly[Workstream],"Programme",KRI_monthly[Status],"Red")&gt;0,"Programme (" &amp; COUNTIFS(KRI_monthly[Workstream],"Programme",KRI_monthly[Status],"Red") &amp; "/" &amp; COUNTIF(KRI_monthly[Workstream],"Programme") &amp; ")", ""),
    IF(COUNTIFS(KRI_monthly[Workstream],"Regulatory",KRI_monthly[Status],"Red")&gt;0,"Regulatory (" &amp; COUNTIFS(KRI_monthly[Workstream],"Regulatory",KRI_monthly[Status],"Red") &amp; "/" &amp; COUNTIF(KRI_monthly[Workstream],"Regulatory") &amp; ")", ""),
    IF(COUNTIFS(KRI_monthly[Workstream],"Resourcing",KRI_monthly[Status],"Red")&gt;0,"Resourcing (" &amp; COUNTIFS(KRI_monthly[Workstream],"Resourcing",KRI_monthly[Status],"Red") &amp; "/" &amp; COUNTIF(KRI_monthly[Workstream],"Resourcing") &amp; ")", ""),
    IF(COUNTIFS(KRI_monthly[Workstream],"Safety",KRI_monthly[Status],"Red")&gt;0,"Safety (" &amp; COUNTIFS(KRI_monthly[Workstream],"Safety",KRI_monthly[Status],"Red") &amp; "/" &amp; COUNTIF(KRI_monthly[Workstream],"Safety") &amp; ")", ""),
    IF(COUNTIFS(KRI_monthly[Workstream],"Social Value",KRI_monthly[Status],"Red")&gt;0,"Social Value (" &amp; COUNTIFS(KRI_monthly[Workstream],"Social Value",KRI_monthly[Status],"Red") &amp; "/" &amp; COUNTIF(KRI_monthly[Workstream],"Social Value") &amp; ")", ""),
    IF(COUNTIFS(KRI_monthly[Workstream],"Strategic",KRI_monthly[Status],"Red")&gt;0,"Strategic (" &amp; COUNTIFS(KRI_monthly[Workstream],"Strategic",KRI_monthly[Status],"Red") &amp; "/" &amp; COUNTIF(KRI_monthly[Workstream],"Strategic") &amp; ")", ""),
    IF(COUNTIFS(KRI_monthly[Workstream],"Supply Chain",KRI_monthly[Status],"Red")&gt;0,"Supply Chain (" &amp; COUNTIFS(KRI_monthly[Workstream],"Supply Chain",KRI_monthly[Status],"Red") &amp; "/" &amp; COUNTIF(KRI_monthly[Workstream],"Supply Chain") &amp; ")", ""),
    IF(COUNTIFS(KRI_monthly[Workstream],"Technical",KRI_monthly[Status],"Red")&gt;0,"Technical (" &amp; COUNTIFS(KRI_monthly[Workstream],"Technical",KRI_monthly[Status],"Red") &amp; "/" &amp; COUNTIF(KRI_monthly[Workstream],"Technical") &amp; ")", "")
  )
)</f>
        <v>No Metrics In This Category</v>
      </c>
      <c r="F32" s="729"/>
      <c r="G32" s="730"/>
      <c r="I32" s="549" t="s">
        <v>1658</v>
      </c>
      <c r="J32" s="563">
        <f>COUNTIFS(KRI_monthly[Workstream],I32,KRI_monthly[Status],$J$29)</f>
        <v>1</v>
      </c>
      <c r="K32" s="564">
        <f>COUNTIFS(KRI_monthly[Workstream],I32,KRI_monthly[Status],$K$29)</f>
        <v>0</v>
      </c>
      <c r="L32" s="583">
        <f>COUNTIFS(KRI_monthly[Workstream],I32,KRI_monthly[Status],$L$29)</f>
        <v>0</v>
      </c>
      <c r="M32"/>
      <c r="O32"/>
      <c r="P32"/>
      <c r="Q32"/>
      <c r="R32"/>
      <c r="S32"/>
      <c r="T32"/>
      <c r="U32"/>
      <c r="V32" s="476"/>
    </row>
    <row r="33" spans="1:36" ht="196.5" customHeight="1">
      <c r="A33" s="748"/>
      <c r="C33" s="644" t="s">
        <v>1668</v>
      </c>
      <c r="D33" s="541">
        <f>COUNTIF(KRI_monthly[Status],"Amber")</f>
        <v>0</v>
      </c>
      <c r="E33" s="541" t="str" cm="1">
        <f t="array" ref="E33">IF(
  SUM(COUNTIFS(KRI_monthly[Workstream],
    {"Compliance","Environmental","Financial","GLA Compliance","Governance","Health &amp; Safety","Procurement","Programme","Regulatory","Resourcing","Safety","Social Value","Strategic","Supply Chain","Technical"},
    KRI_monthly[Status],"Amber"))=0,
  "No Metrics In This Category",
  _xlfn.TEXTJOIN(", ",TRUE,
    IF(COUNTIFS(KRI_monthly[Workstream],"Compliance",KRI_monthly[Status],"Amber")&gt;0,"Compliance (" &amp; COUNTIFS(KRI_monthly[Workstream],"Compliance",KRI_monthly[Status],"Amber") &amp; "/" &amp; COUNTIF(KRI_monthly[Workstream],"Compliance") &amp; ")", ""),
    IF(COUNTIFS(KRI_monthly[Workstream],"Environmental",KRI_monthly[Status],"Amber")&gt;0,"Environmental (" &amp; COUNTIFS(KRI_monthly[Workstream],"Environmental",KRI_monthly[Status],"Amber") &amp; "/" &amp; COUNTIF(KRI_monthly[Workstream],"Environmental") &amp; ")", ""),
    IF(COUNTIFS(KRI_monthly[Workstream],"Financial",KRI_monthly[Status],"Amber")&gt;0,"Financial (" &amp; COUNTIFS(KRI_monthly[Workstream],"Financial",KRI_monthly[Status],"Amber") &amp; "/" &amp; COUNTIF(KRI_monthly[Workstream],"Financial") &amp; ")", ""),
    IF(COUNTIFS(KRI_monthly[Workstream],"GLA Compliance",KRI_monthly[Status],"Amber")&gt;0,"GLA Compliance (" &amp; COUNTIFS(KRI_monthly[Workstream],"GLA Compliance",KRI_monthly[Status],"Amber") &amp; "/" &amp; COUNTIF(KRI_monthly[Workstream],"GLA Compliance") &amp; ")", ""),
    IF(COUNTIFS(KRI_monthly[Workstream],"Governance",KRI_monthly[Status],"Amber")&gt;0,"Governance (" &amp; COUNTIFS(KRI_monthly[Workstream],"Governance",KRI_monthly[Status],"Amber") &amp; "/" &amp; COUNTIF(KRI_monthly[Workstream],"Governance") &amp; ")", ""),
    IF(COUNTIFS(KRI_monthly[Workstream],"Health &amp; Safety",KRI_monthly[Status],"Amber")&gt;0,"Health &amp; Safety (" &amp; COUNTIFS(KRI_monthly[Workstream],"Health &amp; Safety",KRI_monthly[Status],"Amber") &amp; "/" &amp; COUNTIF(KRI_monthly[Workstream],"Health &amp; Safety") &amp; ")", ""),
    IF(COUNTIFS(KRI_monthly[Workstream],"Procurement",KRI_monthly[Status],"Amber")&gt;0,"Procurement (" &amp; COUNTIFS(KRI_monthly[Workstream],"Procurement",KRI_monthly[Status],"Amber") &amp; "/" &amp; COUNTIF(KRI_monthly[Workstream],"Procurement") &amp; ")", ""),
    IF(COUNTIFS(KRI_monthly[Workstream],"Programme",KRI_monthly[Status],"Amber")&gt;0,"Programme (" &amp; COUNTIFS(KRI_monthly[Workstream],"Programme",KRI_monthly[Status],"Amber") &amp; "/" &amp; COUNTIF(KRI_monthly[Workstream],"Programme") &amp; ")", ""),
    IF(COUNTIFS(KRI_monthly[Workstream],"Regulatory",KRI_monthly[Status],"Amber")&gt;0,"Regulatory (" &amp; COUNTIFS(KRI_monthly[Workstream],"Regulatory",KRI_monthly[Status],"Amber") &amp; "/" &amp; COUNTIF(KRI_monthly[Workstream],"Regulatory") &amp; ")", ""),
    IF(COUNTIFS(KRI_monthly[Workstream],"Resourcing",KRI_monthly[Status],"Amber")&gt;0,"Resourcing (" &amp; COUNTIFS(KRI_monthly[Workstream],"Resourcing",KRI_monthly[Status],"Amber") &amp; "/" &amp; COUNTIF(KRI_monthly[Workstream],"Resourcing") &amp; ")", ""),
    IF(COUNTIFS(KRI_monthly[Workstream],"Safety",KRI_monthly[Status],"Amber")&gt;0,"Safety (" &amp; COUNTIFS(KRI_monthly[Workstream],"Safety",KRI_monthly[Status],"Amber") &amp; "/" &amp; COUNTIF(KRI_monthly[Workstream],"Safety") &amp; ")", ""),
    IF(COUNTIFS(KRI_monthly[Workstream],"Social Value",KRI_monthly[Status],"Amber")&gt;0,"Social Value (" &amp; COUNTIFS(KRI_monthly[Workstream],"Social Value",KRI_monthly[Status],"Amber") &amp; "/" &amp; COUNTIF(KRI_monthly[Workstream],"Social Value") &amp; ")", ""),
    IF(COUNTIFS(KRI_monthly[Workstream],"Strategic",KRI_monthly[Status],"Amber")&gt;0,"Strategic (" &amp; COUNTIFS(KRI_monthly[Workstream],"Strategic",KRI_monthly[Status],"Amber") &amp; "/" &amp; COUNTIF(KRI_monthly[Workstream],"Strategic") &amp; ")", ""),
    IF(COUNTIFS(KRI_monthly[Workstream],"Supply Chain",KRI_monthly[Status],"Amber")&gt;0,"Supply Chain (" &amp; COUNTIFS(KRI_monthly[Workstream],"Supply Chain",KRI_monthly[Status],"Amber") &amp; "/" &amp; COUNTIF(KRI_monthly[Workstream],"Supply Chain") &amp; ")", ""),
    IF(COUNTIFS(KRI_monthly[Workstream],"Technical",KRI_monthly[Status],"Amber")&gt;0,"Technical (" &amp; COUNTIFS(KRI_monthly[Workstream],"Technical",KRI_monthly[Status],"Amber") &amp; "/" &amp; COUNTIF(KRI_monthly[Workstream],"Technical") &amp; ")", "")
  )
)</f>
        <v>No Metrics In This Category</v>
      </c>
      <c r="F33" s="729"/>
      <c r="G33" s="730"/>
      <c r="I33" s="549" t="s">
        <v>1660</v>
      </c>
      <c r="J33" s="563">
        <f>COUNTIFS(KRI_monthly[Workstream],I33,KRI_monthly[Status],$J$29)</f>
        <v>1</v>
      </c>
      <c r="K33" s="564">
        <f>COUNTIFS(KRI_monthly[Workstream],I33,KRI_monthly[Status],$K$29)</f>
        <v>0</v>
      </c>
      <c r="L33" s="583">
        <f>COUNTIFS(KRI_monthly[Workstream],I33,KRI_monthly[Status],$L$29)</f>
        <v>0</v>
      </c>
      <c r="M33"/>
      <c r="O33"/>
      <c r="P33"/>
      <c r="Q33"/>
      <c r="R33"/>
      <c r="S33"/>
      <c r="T33"/>
      <c r="U33"/>
      <c r="V33" s="476"/>
    </row>
    <row r="34" spans="1:36" ht="196.5" customHeight="1" thickBot="1">
      <c r="A34" s="748"/>
      <c r="C34" s="645" t="s">
        <v>1669</v>
      </c>
      <c r="D34" s="541">
        <f>COUNTIF(KRI_monthly[Status],"Green")</f>
        <v>1</v>
      </c>
      <c r="E34" s="541" t="str" cm="1">
        <f t="array" ref="E34">IF(
  SUM(COUNTIFS(KRI_monthly[Workstream],
    {"Compliance","Environmental","Financial","GLA Compliance","Governance","Health &amp; Safety","Procurement","Programme","Regulatory","Resourcing","Safety","Social Value","Strategic","Supply Chain","Technical"},
    KRI_monthly[Status],"Green"))=0,
  "No Metrics In This Category",
  _xlfn.TEXTJOIN(", ",TRUE,
    IF(COUNTIFS(KRI_monthly[Workstream],"Compliance",KRI_monthly[Status],"Green")&gt;0,"Compliance (" &amp; COUNTIFS(KRI_monthly[Workstream],"Compliance",KRI_monthly[Status],"Green") &amp; "/" &amp; COUNTIF(KRI_monthly[Workstream],"Compliance") &amp; ")", ""),
    IF(COUNTIFS(KRI_monthly[Workstream],"Environmental",KRI_monthly[Status],"Green")&gt;0,"Environmental (" &amp; COUNTIFS(KRI_monthly[Workstream],"Environmental",KRI_monthly[Status],"Green") &amp; "/" &amp; COUNTIF(KRI_monthly[Workstream],"Environmental") &amp; ")", ""),
    IF(COUNTIFS(KRI_monthly[Workstream],"Financial",KRI_monthly[Status],"Green")&gt;0,"Financial (" &amp; COUNTIFS(KRI_monthly[Workstream],"Financial",KRI_monthly[Status],"Green") &amp; "/" &amp; COUNTIF(KRI_monthly[Workstream],"Financial") &amp; ")", ""),
    IF(COUNTIFS(KRI_monthly[Workstream],"GLA Compliance",KRI_monthly[Status],"Green")&gt;0,"GLA Compliance (" &amp; COUNTIFS(KRI_monthly[Workstream],"GLA Compliance",KRI_monthly[Status],"Green") &amp; "/" &amp; COUNTIF(KRI_monthly[Workstream],"GLA Compliance") &amp; ")", ""),
    IF(COUNTIFS(KRI_monthly[Workstream],"Governance",KRI_monthly[Status],"Green")&gt;0,"Governance (" &amp; COUNTIFS(KRI_monthly[Workstream],"Governance",KRI_monthly[Status],"Green") &amp; "/" &amp; COUNTIF(KRI_monthly[Workstream],"Governance") &amp; ")", ""),
    IF(COUNTIFS(KRI_monthly[Workstream],"Health &amp; Safety",KRI_monthly[Status],"Green")&gt;0,"Health &amp; Safety (" &amp; COUNTIFS(KRI_monthly[Workstream],"Health &amp; Safety",KRI_monthly[Status],"Green") &amp; "/" &amp; COUNTIF(KRI_monthly[Workstream],"Health &amp; Safety") &amp; ")", ""),
    IF(COUNTIFS(KRI_monthly[Workstream],"Procurement",KRI_monthly[Status],"Green")&gt;0,"Procurement (" &amp; COUNTIFS(KRI_monthly[Workstream],"Procurement",KRI_monthly[Status],"Green") &amp; "/" &amp; COUNTIF(KRI_monthly[Workstream],"Procurement") &amp; ")", ""),
    IF(COUNTIFS(KRI_monthly[Workstream],"Programme",KRI_monthly[Status],"Green")&gt;0,"Programme (" &amp; COUNTIFS(KRI_monthly[Workstream],"Programme",KRI_monthly[Status],"Green") &amp; "/" &amp; COUNTIF(KRI_monthly[Workstream],"Programme") &amp; ")", ""),
    IF(COUNTIFS(KRI_monthly[Workstream],"Regulatory",KRI_monthly[Status],"Green")&gt;0,"Regulatory (" &amp; COUNTIFS(KRI_monthly[Workstream],"Regulatory",KRI_monthly[Status],"Green") &amp; "/" &amp; COUNTIF(KRI_monthly[Workstream],"Regulatory") &amp; ")", ""),
    IF(COUNTIFS(KRI_monthly[Workstream],"Resourcing",KRI_monthly[Status],"Green")&gt;0,"Resourcing (" &amp; COUNTIFS(KRI_monthly[Workstream],"Resourcing",KRI_monthly[Status],"Green") &amp; "/" &amp; COUNTIF(KRI_monthly[Workstream],"Resourcing") &amp; ")", ""),
    IF(COUNTIFS(KRI_monthly[Workstream],"Safety",KRI_monthly[Status],"Green")&gt;0,"Safety (" &amp; COUNTIFS(KRI_monthly[Workstream],"Safety",KRI_monthly[Status],"Green") &amp; "/" &amp; COUNTIF(KRI_monthly[Workstream],"Safety") &amp; ")", ""),
    IF(COUNTIFS(KRI_monthly[Workstream],"Social Value",KRI_monthly[Status],"Green")&gt;0,"Social Value (" &amp; COUNTIFS(KRI_monthly[Workstream],"Social Value",KRI_monthly[Status],"Green") &amp; "/" &amp; COUNTIF(KRI_monthly[Workstream],"Social Value") &amp; ")", ""),
    IF(COUNTIFS(KRI_monthly[Workstream],"Strategic",KRI_monthly[Status],"Green")&gt;0,"Strategic (" &amp; COUNTIFS(KRI_monthly[Workstream],"Strategic",KRI_monthly[Status],"Green") &amp; "/" &amp; COUNTIF(KRI_monthly[Workstream],"Strategic") &amp; ")", ""),
    IF(COUNTIFS(KRI_monthly[Workstream],"Supply Chain",KRI_monthly[Status],"Green")&gt;0,"Supply Chain (" &amp; COUNTIFS(KRI_monthly[Workstream],"Supply Chain",KRI_monthly[Status],"Green") &amp; "/" &amp; COUNTIF(KRI_monthly[Workstream],"Supply Chain") &amp; ")", ""),
    IF(COUNTIFS(KRI_monthly[Workstream],"Technical",KRI_monthly[Status],"Green")&gt;0,"Technical (" &amp; COUNTIFS(KRI_monthly[Workstream],"Technical",KRI_monthly[Status],"Green") &amp; "/" &amp; COUNTIF(KRI_monthly[Workstream],"Technical") &amp; ")", "")
  )
)</f>
        <v>No Metrics In This Category</v>
      </c>
      <c r="F34" s="742"/>
      <c r="G34" s="733"/>
      <c r="I34" s="549" t="s">
        <v>1650</v>
      </c>
      <c r="J34" s="563">
        <f>COUNTIFS(KRI_monthly[Workstream],I34,KRI_monthly[Status],$J$29)</f>
        <v>1</v>
      </c>
      <c r="K34" s="564">
        <f>COUNTIFS(KRI_monthly[Workstream],I34,KRI_monthly[Status],$K$29)</f>
        <v>0</v>
      </c>
      <c r="L34" s="583">
        <f>COUNTIFS(KRI_monthly[Workstream],I34,KRI_monthly[Status],$L$29)</f>
        <v>0</v>
      </c>
      <c r="M34"/>
      <c r="O34"/>
      <c r="P34"/>
      <c r="Q34"/>
      <c r="R34"/>
      <c r="S34"/>
      <c r="T34"/>
      <c r="U34"/>
      <c r="V34" s="476"/>
    </row>
    <row r="35" spans="1:36" ht="196.5" customHeight="1" thickBot="1">
      <c r="A35" s="748"/>
      <c r="F35"/>
      <c r="G35"/>
      <c r="I35" s="549" t="s">
        <v>1652</v>
      </c>
      <c r="J35" s="563">
        <f>COUNTIFS(KRI_monthly[Workstream],I35,KRI_monthly[Status],$J$29)</f>
        <v>1</v>
      </c>
      <c r="K35" s="564">
        <f>COUNTIFS(KRI_monthly[Workstream],I35,KRI_monthly[Status],$K$29)</f>
        <v>0</v>
      </c>
      <c r="L35" s="583">
        <f>COUNTIFS(KRI_monthly[Workstream],I35,KRI_monthly[Status],$L$29)</f>
        <v>0</v>
      </c>
      <c r="M35"/>
      <c r="O35"/>
      <c r="P35"/>
      <c r="Q35"/>
      <c r="R35"/>
      <c r="S35"/>
      <c r="T35"/>
      <c r="U35"/>
      <c r="V35" s="476"/>
    </row>
    <row r="36" spans="1:36" ht="196.5" customHeight="1">
      <c r="A36" s="748"/>
      <c r="C36" s="734" t="s">
        <v>1261</v>
      </c>
      <c r="D36" s="735"/>
      <c r="E36" s="735"/>
      <c r="F36" s="735"/>
      <c r="G36" s="736"/>
      <c r="I36" s="549" t="s">
        <v>1340</v>
      </c>
      <c r="J36" s="563">
        <f>COUNTIFS(KRI_monthly[Workstream],I36,KRI_monthly[Status],$J$29)</f>
        <v>1</v>
      </c>
      <c r="K36" s="564">
        <f>COUNTIFS(KRI_monthly[Workstream],I36,KRI_monthly[Status],$K$29)</f>
        <v>0</v>
      </c>
      <c r="L36" s="583">
        <f>COUNTIFS(KRI_monthly[Workstream],I36,KRI_monthly[Status],$L$29)</f>
        <v>0</v>
      </c>
      <c r="M36"/>
      <c r="O36"/>
      <c r="P36"/>
      <c r="Q36"/>
      <c r="R36"/>
      <c r="S36"/>
      <c r="T36"/>
      <c r="U36"/>
      <c r="V36" s="476"/>
      <c r="Z36" s="489"/>
      <c r="AA36" s="489"/>
      <c r="AB36" s="490"/>
      <c r="AE36" s="489"/>
      <c r="AF36" s="489"/>
      <c r="AG36" s="491"/>
      <c r="AH36" s="490"/>
    </row>
    <row r="37" spans="1:36" ht="196.5" customHeight="1" thickBot="1">
      <c r="A37" s="748"/>
      <c r="C37" s="766"/>
      <c r="D37" s="767"/>
      <c r="E37" s="767"/>
      <c r="F37" s="767"/>
      <c r="G37" s="768"/>
      <c r="I37" s="549" t="s">
        <v>1694</v>
      </c>
      <c r="J37" s="563">
        <f>COUNTIFS(KRI_monthly[Workstream],I37,KRI_monthly[Status],$J$29)</f>
        <v>0</v>
      </c>
      <c r="K37" s="564">
        <f>COUNTIFS(KRI_monthly[Workstream],I37,KRI_monthly[Status],$K$29)</f>
        <v>0</v>
      </c>
      <c r="L37" s="583">
        <f>COUNTIFS(KRI_monthly[Workstream],I37,KRI_monthly[Status],$L$29)</f>
        <v>1</v>
      </c>
      <c r="M37"/>
      <c r="O37"/>
      <c r="P37"/>
      <c r="Q37"/>
      <c r="R37"/>
      <c r="S37"/>
      <c r="T37"/>
      <c r="U37"/>
      <c r="V37" s="476"/>
      <c r="Z37" s="489"/>
      <c r="AA37" s="489"/>
      <c r="AB37" s="490"/>
      <c r="AE37" s="489"/>
      <c r="AF37" s="489"/>
      <c r="AG37" s="491"/>
      <c r="AH37" s="490"/>
    </row>
    <row r="38" spans="1:36" ht="196.5" customHeight="1">
      <c r="A38" s="748"/>
      <c r="C38" s="757" t="s">
        <v>1260</v>
      </c>
      <c r="D38" s="758"/>
      <c r="E38" s="758"/>
      <c r="F38" s="761">
        <f>COUNTA(KRI_monthly[Escalation Trigger])</f>
        <v>8</v>
      </c>
      <c r="G38" s="762"/>
      <c r="I38" s="549" t="s">
        <v>1698</v>
      </c>
      <c r="J38" s="563">
        <f>COUNTIFS(KRI_monthly[Workstream],I38,KRI_monthly[Status],$J$29)</f>
        <v>0</v>
      </c>
      <c r="K38" s="564">
        <f>COUNTIFS(KRI_monthly[Workstream],I38,KRI_monthly[Status],$K$29)</f>
        <v>0</v>
      </c>
      <c r="L38" s="583">
        <f>COUNTIFS(KRI_monthly[Workstream],I38,KRI_monthly[Status],$L$29)</f>
        <v>0</v>
      </c>
      <c r="M38"/>
      <c r="O38"/>
      <c r="P38"/>
      <c r="Q38"/>
      <c r="R38"/>
      <c r="S38"/>
      <c r="T38"/>
      <c r="U38"/>
      <c r="V38" s="476"/>
      <c r="Z38" s="489"/>
      <c r="AA38" s="489"/>
      <c r="AB38" s="490"/>
      <c r="AE38" s="489"/>
      <c r="AF38" s="489"/>
      <c r="AG38" s="491"/>
      <c r="AH38" s="490"/>
    </row>
    <row r="39" spans="1:36" ht="196.5" customHeight="1" thickBot="1">
      <c r="A39" s="748"/>
      <c r="C39" s="759"/>
      <c r="D39" s="760"/>
      <c r="E39" s="760"/>
      <c r="F39" s="763"/>
      <c r="G39" s="764"/>
      <c r="I39" s="550" t="s">
        <v>1671</v>
      </c>
      <c r="J39" s="563">
        <f>COUNTIFS(KRI_monthly[Workstream],I39,KRI_monthly[Status],$J$29)</f>
        <v>1</v>
      </c>
      <c r="K39" s="564">
        <f>COUNTIFS(KRI_monthly[Workstream],I39,KRI_monthly[Status],$K$29)</f>
        <v>0</v>
      </c>
      <c r="L39" s="583">
        <f>COUNTIFS(KRI_monthly[Workstream],I39,KRI_monthly[Status],$L$29)</f>
        <v>0</v>
      </c>
      <c r="M39"/>
      <c r="O39"/>
      <c r="P39"/>
      <c r="Q39"/>
      <c r="R39"/>
      <c r="S39"/>
      <c r="T39"/>
      <c r="U39"/>
      <c r="V39" s="476"/>
      <c r="Z39" s="489"/>
      <c r="AA39" s="489"/>
      <c r="AB39" s="490"/>
      <c r="AE39" s="489"/>
      <c r="AF39" s="489"/>
      <c r="AG39" s="491"/>
      <c r="AH39" s="490"/>
    </row>
    <row r="40" spans="1:36" ht="37.35" customHeight="1" thickBot="1">
      <c r="A40" s="749"/>
      <c r="B40" s="479"/>
      <c r="C40" s="492"/>
      <c r="D40" s="493"/>
      <c r="E40" s="494"/>
      <c r="F40" s="481"/>
      <c r="G40" s="479"/>
      <c r="H40" s="479"/>
      <c r="I40" s="495"/>
      <c r="J40" s="479"/>
      <c r="K40" s="479"/>
      <c r="L40" s="479"/>
      <c r="M40" s="479"/>
      <c r="N40" s="479"/>
      <c r="O40" s="496"/>
      <c r="P40" s="479"/>
      <c r="Q40" s="479"/>
      <c r="R40" s="479"/>
      <c r="S40" s="479"/>
      <c r="T40" s="479"/>
      <c r="U40" s="479"/>
      <c r="V40" s="483"/>
      <c r="Z40" s="489"/>
      <c r="AA40" s="489"/>
      <c r="AB40" s="490"/>
      <c r="AE40" s="489"/>
      <c r="AF40" s="489"/>
      <c r="AG40" s="491"/>
      <c r="AH40" s="490"/>
    </row>
    <row r="41" spans="1:36" ht="38.1" customHeight="1" thickTop="1" thickBot="1">
      <c r="A41" s="497"/>
      <c r="B41" s="577"/>
      <c r="C41" s="577"/>
      <c r="D41" s="577"/>
      <c r="E41" s="577"/>
      <c r="F41" s="577"/>
      <c r="G41" s="577"/>
      <c r="H41" s="577"/>
      <c r="I41" s="578"/>
      <c r="J41" s="577"/>
      <c r="K41" s="577"/>
      <c r="L41" s="577"/>
      <c r="M41" s="577"/>
      <c r="N41" s="577"/>
      <c r="O41" s="577"/>
      <c r="P41" s="577"/>
      <c r="Q41" s="577"/>
      <c r="R41" s="577"/>
      <c r="S41" s="577"/>
      <c r="T41" s="577"/>
      <c r="U41" s="577"/>
      <c r="V41" s="577"/>
    </row>
    <row r="42" spans="1:36" ht="38.1" customHeight="1" thickTop="1" thickBot="1">
      <c r="A42" s="747" t="s">
        <v>1243</v>
      </c>
      <c r="B42" s="470"/>
      <c r="C42" s="470"/>
      <c r="D42" s="470"/>
      <c r="E42" s="470"/>
      <c r="F42" s="470"/>
      <c r="G42" s="470"/>
      <c r="H42" s="470"/>
      <c r="I42" s="488"/>
      <c r="J42" s="470"/>
      <c r="K42" s="470"/>
      <c r="L42" s="470"/>
      <c r="M42" s="470"/>
      <c r="N42" s="470"/>
      <c r="O42" s="470"/>
      <c r="P42" s="470"/>
      <c r="Q42" s="470"/>
      <c r="R42" s="470"/>
      <c r="S42" s="470"/>
      <c r="T42" s="470"/>
      <c r="U42" s="470"/>
      <c r="V42" s="473"/>
    </row>
    <row r="43" spans="1:36" ht="50.1" customHeight="1">
      <c r="A43" s="748"/>
      <c r="C43" s="734" t="s">
        <v>1241</v>
      </c>
      <c r="D43" s="735"/>
      <c r="E43" s="735"/>
      <c r="F43" s="723" t="s">
        <v>1255</v>
      </c>
      <c r="G43" s="724"/>
      <c r="I43" s="734" t="s">
        <v>1259</v>
      </c>
      <c r="J43" s="735"/>
      <c r="K43" s="735"/>
      <c r="L43" s="736"/>
      <c r="M43" s="512" t="s">
        <v>1258</v>
      </c>
      <c r="N43" s="627"/>
      <c r="O43" s="628"/>
      <c r="P43" s="628"/>
      <c r="Q43" s="628"/>
      <c r="R43" s="628"/>
      <c r="S43" s="628"/>
      <c r="T43" s="628"/>
      <c r="U43" s="629"/>
      <c r="V43" s="476"/>
    </row>
    <row r="44" spans="1:36" ht="164.1" customHeight="1">
      <c r="A44" s="748"/>
      <c r="C44" s="766"/>
      <c r="D44" s="767"/>
      <c r="E44" s="767"/>
      <c r="F44" s="725"/>
      <c r="G44" s="726"/>
      <c r="I44" s="737"/>
      <c r="J44" s="738"/>
      <c r="K44" s="738"/>
      <c r="L44" s="739"/>
      <c r="M44" s="512"/>
      <c r="N44" s="630"/>
      <c r="O44" s="631"/>
      <c r="P44" s="631"/>
      <c r="Q44" s="631"/>
      <c r="R44" s="631"/>
      <c r="S44" s="631"/>
      <c r="T44" s="631"/>
      <c r="U44" s="632"/>
      <c r="V44" s="476"/>
    </row>
    <row r="45" spans="1:36" ht="168.6" customHeight="1">
      <c r="A45" s="748"/>
      <c r="C45" s="766"/>
      <c r="D45" s="767"/>
      <c r="E45" s="767"/>
      <c r="F45" s="725"/>
      <c r="G45" s="726"/>
      <c r="I45" s="547" t="s">
        <v>585</v>
      </c>
      <c r="J45" s="572" t="s">
        <v>456</v>
      </c>
      <c r="K45" s="572" t="s">
        <v>1257</v>
      </c>
      <c r="L45" s="539" t="s">
        <v>105</v>
      </c>
      <c r="M45" s="512"/>
      <c r="N45" s="630"/>
      <c r="O45" s="631"/>
      <c r="P45" s="631"/>
      <c r="Q45" s="631"/>
      <c r="R45" s="631"/>
      <c r="S45" s="631"/>
      <c r="T45" s="631"/>
      <c r="U45" s="632"/>
      <c r="V45" s="476"/>
      <c r="AH45" s="639" t="s">
        <v>585</v>
      </c>
      <c r="AI45" s="640" t="s">
        <v>456</v>
      </c>
      <c r="AJ45" s="640" t="s">
        <v>1257</v>
      </c>
    </row>
    <row r="46" spans="1:36" ht="107.55" customHeight="1">
      <c r="A46" s="748"/>
      <c r="C46" s="737"/>
      <c r="D46" s="738"/>
      <c r="E46" s="738"/>
      <c r="F46" s="822"/>
      <c r="G46" s="823"/>
      <c r="I46" s="584" t="str" cm="1">
        <f t="array" ref="I46:I57">_xlfn.UNIQUE(_xlfn._xlws.FILTER(KPI_monthly[KPI Name], (KPI_monthly[KPI Name] &lt;&gt; "") * (KPI_monthly[KPI Name] &lt;&gt; 0)))</f>
        <v>Cost Forecast Accuracy</v>
      </c>
      <c r="J46" s="624" t="str">
        <f>IF(I46&lt;&gt;"",IF(_xlfn.XLOOKUP(I46,KPI_monthly[KPI Name],KPI_monthly[Current Value])&lt;&gt;"",_xlfn.XLOOKUP(I46,KPI_monthly[KPI Name],KPI_monthly[Current Value]),0%),"")</f>
        <v>88 %</v>
      </c>
      <c r="K46" s="625" t="str">
        <f>IFERROR(IF(I46&lt;&gt;"",VALUE(SUBSTITUTE(SUBSTITUTE(_xlfn.XLOOKUP(I46,KPI_monthly[KPI Name],KPI_monthly[Green Threshold]),"&gt;",""),"&lt;","")),""),"")</f>
        <v/>
      </c>
      <c r="L46" s="626" t="str">
        <f>IF(I46&lt;&gt;"",_xlfn.XLOOKUP(I46,KPI_monthly[KPI Name],KPI_monthly[Status]),"")</f>
        <v>Red</v>
      </c>
      <c r="M46" s="511"/>
      <c r="N46" s="633"/>
      <c r="O46" s="634"/>
      <c r="P46" s="634"/>
      <c r="Q46" s="634"/>
      <c r="R46" s="634"/>
      <c r="S46" s="634"/>
      <c r="T46" s="634"/>
      <c r="U46" s="635"/>
      <c r="V46" s="476"/>
      <c r="AH46" s="641" t="str">
        <f>IF(I46&lt;&gt;"", I46, "")</f>
        <v>Cost Forecast Accuracy</v>
      </c>
      <c r="AI46" s="642">
        <f>IFERROR(VALUE(SUBSTITUTE(J46,"%",""))/100,0)</f>
        <v>0.88</v>
      </c>
      <c r="AJ46" s="642" t="str">
        <f>K46</f>
        <v/>
      </c>
    </row>
    <row r="47" spans="1:36" ht="90.75" customHeight="1">
      <c r="A47" s="748"/>
      <c r="C47" s="571" t="s">
        <v>1147</v>
      </c>
      <c r="D47" s="572" t="s">
        <v>1148</v>
      </c>
      <c r="E47" s="572" t="s">
        <v>1149</v>
      </c>
      <c r="F47" s="813"/>
      <c r="G47" s="814"/>
      <c r="I47" s="584" t="str">
        <v>Schedule Forecast Reliability</v>
      </c>
      <c r="J47" s="624" t="str">
        <f>IF(I47&lt;&gt;"",IF(_xlfn.XLOOKUP(I47,KPI_monthly[KPI Name],KPI_monthly[Current Value])&lt;&gt;"",_xlfn.XLOOKUP(I47,KPI_monthly[KPI Name],KPI_monthly[Current Value]),0%),"")</f>
        <v>106 %</v>
      </c>
      <c r="K47" s="625" t="str">
        <f>IFERROR(IF(I47&lt;&gt;"",VALUE(SUBSTITUTE(SUBSTITUTE(_xlfn.XLOOKUP(I47,KPI_monthly[KPI Name],KPI_monthly[Green Threshold]),"&gt;",""),"&lt;","")),""),"")</f>
        <v/>
      </c>
      <c r="L47" s="626" t="str">
        <f>IF(I47&lt;&gt;"",_xlfn.XLOOKUP(I47,KPI_monthly[KPI Name],KPI_monthly[Status]),"")</f>
        <v>Amber</v>
      </c>
      <c r="M47" s="511"/>
      <c r="N47" s="633"/>
      <c r="O47" s="634"/>
      <c r="P47" s="634"/>
      <c r="Q47" s="634"/>
      <c r="R47" s="634"/>
      <c r="S47" s="634"/>
      <c r="T47" s="634"/>
      <c r="U47" s="635"/>
      <c r="V47" s="476"/>
      <c r="AH47" s="641" t="str">
        <f t="shared" ref="AH47:AH68" si="0">IF(I47&lt;&gt;"", I47, "")</f>
        <v>Schedule Forecast Reliability</v>
      </c>
      <c r="AI47" s="642">
        <f t="shared" ref="AI47:AI68" si="1">IFERROR(VALUE(SUBSTITUTE(J47,"%",""))/100,0)</f>
        <v>1.06</v>
      </c>
      <c r="AJ47" s="642" t="str">
        <f t="shared" ref="AJ47:AJ68" si="2">K47</f>
        <v/>
      </c>
    </row>
    <row r="48" spans="1:36" ht="135" customHeight="1">
      <c r="A48" s="748"/>
      <c r="C48" s="750" t="s">
        <v>1828</v>
      </c>
      <c r="D48" s="752">
        <f>COUNTIF(KPI_monthly[Status], "Red")</f>
        <v>2</v>
      </c>
      <c r="E48" s="752" t="str" cm="1">
        <f t="array" ref="E48">IF(
  SUM(COUNTIFS(KPI_monthly[Objectives],
    {"Deliver Projects on Time &amp; Budget","Deliver Quality Homes","Regulatory Compliance","Governance &amp; Compliance","Stakeholder Confidence","Deliver Projects Sustainably","Deliver projects according to original agreed outcomes"},
    KPI_monthly[Status],"Red"))=0,
  "No Metrics In This Category",
  _xlfn.TEXTJOIN(", ",TRUE,
    IF(COUNTIFS(KPI_monthly[Objectives],"Deliver Projects on Time &amp; Budget",KPI_monthly[Status],"Red")&gt;0,"Deliver Projects on Time &amp; Budget (" &amp; COUNTIFS(KPI_monthly[Objectives],"Deliver Projects on Time &amp; Budget",KPI_monthly[Status],"Red") &amp; "/" &amp; COUNTIF(KPI_monthly[Objectives],"Deliver Projects on Time &amp; Budget") &amp; ")", ""),
    IF(COUNTIFS(KPI_monthly[Objectives],"Deliver Quality Homes",KPI_monthly[Status],"Red")&gt;0,"Deliver Quality Homes (" &amp; COUNTIFS(KPI_monthly[Objectives],"Deliver Quality Homes",KPI_monthly[Status],"Red") &amp; "/" &amp; COUNTIF(KPI_monthly[Objectives],"Deliver Quality Homes") &amp; ")", ""),
    IF(COUNTIFS(KPI_monthly[Objectives],"Regulatory Compliance",KPI_monthly[Status],"Red")&gt;0,"Regulatory Compliance (" &amp; COUNTIFS(KPI_monthly[Objectives],"Regulatory Compliance",KPI_monthly[Status],"Red") &amp; "/" &amp; COUNTIF(KPI_monthly[Objectives],"Regulatory Compliance") &amp; ")", ""),
    IF(COUNTIFS(KPI_monthly[Objectives],"Governance &amp; Compliance",KPI_monthly[Status],"Red")&gt;0,"Governance &amp; Compliance (" &amp; COUNTIFS(KPI_monthly[Objectives],"Governance &amp; Compliance",KPI_monthly[Status],"Red") &amp; "/" &amp; COUNTIF(KPI_monthly[Objectives],"Governance &amp; Compliance") &amp; ")", ""),
    IF(COUNTIFS(KPI_monthly[Objectives],"Stakeholder Confidence",KPI_monthly[Status],"Red")&gt;0,"Stakeholder Confidence (" &amp; COUNTIFS(KPI_monthly[Objectives],"Stakeholder Confidence",KPI_monthly[Status],"Red") &amp; "/" &amp; COUNTIF(KPI_monthly[Objectives],"Stakeholder Confidence") &amp; ")", ""),
    IF(COUNTIFS(KPI_monthly[Objectives],"Deliver Projects Sustainably",KPI_monthly[Status],"Red")&gt;0,"Deliver Projects Sustainably (" &amp; COUNTIFS(KPI_monthly[Objectives],"Deliver Projects Sustainably",KPI_monthly[Status],"Red") &amp; "/" &amp; COUNTIF(KPI_monthly[Objectives],"Deliver Projects Sustainably") &amp; ")", ""),
    IF(COUNTIFS(KPI_monthly[Objectives],"Deliver projects according to original agreed outcomes",KPI_monthly[Status],"Red")&gt;0,"Deliver projects according to original agreed outcomes (" &amp; COUNTIFS(KPI_monthly[Objectives],"Deliver projects according to original agreed outcomes",KPI_monthly[Status],"Red") &amp; "/" &amp; COUNTIF(KPI_monthly[Objectives],"Deliver projects according to original agreed outcomes") &amp; ")", "")
  )
)</f>
        <v>Deliver Projects on Time &amp; Budget (1/6), Deliver Quality Homes (1/3)</v>
      </c>
      <c r="F48" s="815"/>
      <c r="G48" s="730"/>
      <c r="I48" s="584" t="str">
        <v>Change Order Impact</v>
      </c>
      <c r="J48" s="624" t="str">
        <f>IF(I48&lt;&gt;"",IF(_xlfn.XLOOKUP(I48,KPI_monthly[KPI Name],KPI_monthly[Current Value])&lt;&gt;"",_xlfn.XLOOKUP(I48,KPI_monthly[KPI Name],KPI_monthly[Current Value]),0%),"")</f>
        <v>5 %</v>
      </c>
      <c r="K48" s="625">
        <f>IFERROR(IF(I48&lt;&gt;"",VALUE(SUBSTITUTE(SUBSTITUTE(_xlfn.XLOOKUP(I48,KPI_monthly[KPI Name],KPI_monthly[Green Threshold]),"&gt;",""),"&lt;","")),""),"")</f>
        <v>0.05</v>
      </c>
      <c r="L48" s="626" t="str">
        <f>IF(I48&lt;&gt;"",_xlfn.XLOOKUP(I48,KPI_monthly[KPI Name],KPI_monthly[Status]),"")</f>
        <v>Green</v>
      </c>
      <c r="M48" s="511"/>
      <c r="N48" s="633"/>
      <c r="O48" s="634"/>
      <c r="P48" s="634"/>
      <c r="Q48" s="634"/>
      <c r="R48" s="634"/>
      <c r="S48" s="634"/>
      <c r="T48" s="634"/>
      <c r="U48" s="635"/>
      <c r="V48" s="476"/>
      <c r="AH48" s="641" t="str">
        <f t="shared" si="0"/>
        <v>Change Order Impact</v>
      </c>
      <c r="AI48" s="642">
        <f t="shared" si="1"/>
        <v>0.05</v>
      </c>
      <c r="AJ48" s="642">
        <f t="shared" si="2"/>
        <v>0.05</v>
      </c>
    </row>
    <row r="49" spans="1:36" ht="135" customHeight="1">
      <c r="A49" s="748"/>
      <c r="C49" s="751"/>
      <c r="D49" s="753"/>
      <c r="E49" s="753"/>
      <c r="F49" s="815"/>
      <c r="G49" s="730"/>
      <c r="I49" s="584" t="str">
        <v>Budget Performance Rate</v>
      </c>
      <c r="J49" s="624" t="str">
        <f>IF(I49&lt;&gt;"",IF(_xlfn.XLOOKUP(I49,KPI_monthly[KPI Name],KPI_monthly[Current Value])&lt;&gt;"",_xlfn.XLOOKUP(I49,KPI_monthly[KPI Name],KPI_monthly[Current Value]),0%),"")</f>
        <v>80 %</v>
      </c>
      <c r="K49" s="625">
        <f>IFERROR(IF(I49&lt;&gt;"",VALUE(SUBSTITUTE(SUBSTITUTE(_xlfn.XLOOKUP(I49,KPI_monthly[KPI Name],KPI_monthly[Green Threshold]),"&gt;",""),"&lt;","")),""),"")</f>
        <v>0.85</v>
      </c>
      <c r="L49" s="626" t="str">
        <f>IF(I49&lt;&gt;"",_xlfn.XLOOKUP(I49,KPI_monthly[KPI Name],KPI_monthly[Status]),"")</f>
        <v>Amber</v>
      </c>
      <c r="M49" s="511"/>
      <c r="N49" s="633"/>
      <c r="O49" s="634"/>
      <c r="P49" s="634"/>
      <c r="Q49" s="634"/>
      <c r="R49" s="634"/>
      <c r="S49" s="634"/>
      <c r="T49" s="634"/>
      <c r="U49" s="635"/>
      <c r="V49" s="476"/>
      <c r="AH49" s="641" t="str">
        <f t="shared" si="0"/>
        <v>Budget Performance Rate</v>
      </c>
      <c r="AI49" s="642">
        <f t="shared" si="1"/>
        <v>0.8</v>
      </c>
      <c r="AJ49" s="642">
        <f t="shared" si="2"/>
        <v>0.85</v>
      </c>
    </row>
    <row r="50" spans="1:36" ht="135" customHeight="1">
      <c r="A50" s="748"/>
      <c r="C50" s="754" t="s">
        <v>1829</v>
      </c>
      <c r="D50" s="752">
        <f>COUNTIF(KPI_monthly[Status], "Amber")</f>
        <v>2</v>
      </c>
      <c r="E50" s="752" t="str" cm="1">
        <f t="array" ref="E50">IF(
  SUM(COUNTIFS(KPI_monthly[Objectives],
    {"Deliver Projects on Time &amp; Budget","Deliver Quality Homes","Regulatory Compliance","Governance &amp; Compliance","Stakeholder Confidence","Deliver Projects Sustainably","Deliver projects according to original agreed outcomes"},
    KPI_monthly[Status],"Amber"))=0,
  "No Metrics In This Category",
  _xlfn.TEXTJOIN(", ",TRUE,
    IF(COUNTIFS(KPI_monthly[Objectives],"Deliver Projects on Time &amp; Budget",KPI_monthly[Status],"Amber")&gt;0,"Deliver Projects on Time &amp; Budget (" &amp; COUNTIFS(KPI_monthly[Objectives],"Deliver Projects on Time &amp; Budget",KPI_monthly[Status],"Amber") &amp; "/" &amp; COUNTIF(KPI_monthly[Objectives],"Deliver Projects on Time &amp; Budget") &amp; ")", ""),
    IF(COUNTIFS(KPI_monthly[Objectives],"Deliver Quality Homes",KPI_monthly[Status],"Amber")&gt;0,"Deliver Quality Homes (" &amp; COUNTIFS(KPI_monthly[Objectives],"Deliver Quality Homes",KPI_monthly[Status],"Amber") &amp; "/" &amp; COUNTIF(KPI_monthly[Objectives],"Deliver Quality Homes") &amp; ")", ""),
    IF(COUNTIFS(KPI_monthly[Objectives],"Regulatory Compliance",KPI_monthly[Status],"Amber")&gt;0,"Regulatory Compliance (" &amp; COUNTIFS(KPI_monthly[Objectives],"Regulatory Compliance",KPI_monthly[Status],"Amber") &amp; "/" &amp; COUNTIF(KPI_monthly[Objectives],"Regulatory Compliance") &amp; ")", ""),
    IF(COUNTIFS(KPI_monthly[Objectives],"Governance &amp; Compliance",KPI_monthly[Status],"Amber")&gt;0,"Governance &amp; Compliance (" &amp; COUNTIFS(KPI_monthly[Objectives],"Governance &amp; Compliance",KPI_monthly[Status],"Amber") &amp; "/" &amp; COUNTIF(KPI_monthly[Objectives],"Governance &amp; Compliance") &amp; ")", ""),
    IF(COUNTIFS(KPI_monthly[Objectives],"Stakeholder Confidence",KPI_monthly[Status],"Amber")&gt;0,"Stakeholder Confidence (" &amp; COUNTIFS(KPI_monthly[Objectives],"Stakeholder Confidence",KPI_monthly[Status],"Amber") &amp; "/" &amp; COUNTIF(KPI_monthly[Objectives],"Stakeholder Confidence") &amp; ")", ""),
    IF(COUNTIFS(KPI_monthly[Objectives],"Deliver Projects Sustainably",KPI_monthly[Status],"Amber")&gt;0,"Deliver Projects Sustainably (" &amp; COUNTIFS(KPI_monthly[Objectives],"Deliver Projects Sustainably",KPI_monthly[Status],"Amber") &amp; "/" &amp; COUNTIF(KPI_monthly[Objectives],"Deliver Projects Sustainably") &amp; ")", ""),
    IF(COUNTIFS(KPI_monthly[Objectives],"Deliver projects according to original agreed outcomes",KPI_monthly[Status],"Amber")&gt;0,"Deliver projects according to original agreed outcomes (" &amp; COUNTIFS(KPI_monthly[Objectives],"Deliver projects according to original agreed outcomes",KPI_monthly[Status],"Amber") &amp; "/" &amp; COUNTIF(KPI_monthly[Objectives],"Deliver projects according to original agreed outcomes") &amp; ")", "")
  )
)</f>
        <v>Deliver Projects on Time &amp; Budget (2/6)</v>
      </c>
      <c r="F50" s="815"/>
      <c r="G50" s="730"/>
      <c r="I50" s="584" t="str">
        <v>Contingency Management Score</v>
      </c>
      <c r="J50" s="624" t="str">
        <f>IF(I50&lt;&gt;"",IF(_xlfn.XLOOKUP(I50,KPI_monthly[KPI Name],KPI_monthly[Current Value])&lt;&gt;"",_xlfn.XLOOKUP(I50,KPI_monthly[KPI Name],KPI_monthly[Current Value]),0%),"")</f>
        <v>49 %</v>
      </c>
      <c r="K50" s="625">
        <f>IFERROR(IF(I50&lt;&gt;"",VALUE(SUBSTITUTE(SUBSTITUTE(_xlfn.XLOOKUP(I50,KPI_monthly[KPI Name],KPI_monthly[Green Threshold]),"&gt;",""),"&lt;","")),""),"")</f>
        <v>0.4</v>
      </c>
      <c r="L50" s="626" t="str">
        <f>IF(I50&lt;&gt;"",_xlfn.XLOOKUP(I50,KPI_monthly[KPI Name],KPI_monthly[Status]),"")</f>
        <v>Green</v>
      </c>
      <c r="M50" s="511"/>
      <c r="N50" s="633"/>
      <c r="O50" s="634"/>
      <c r="P50" s="634"/>
      <c r="Q50" s="634"/>
      <c r="R50" s="634"/>
      <c r="S50" s="634"/>
      <c r="T50" s="634"/>
      <c r="U50" s="635"/>
      <c r="V50" s="476"/>
      <c r="AH50" s="641" t="str">
        <f t="shared" si="0"/>
        <v>Contingency Management Score</v>
      </c>
      <c r="AI50" s="642">
        <f t="shared" si="1"/>
        <v>0.49</v>
      </c>
      <c r="AJ50" s="642">
        <f t="shared" si="2"/>
        <v>0.4</v>
      </c>
    </row>
    <row r="51" spans="1:36" ht="135" customHeight="1">
      <c r="A51" s="748"/>
      <c r="C51" s="755"/>
      <c r="D51" s="753"/>
      <c r="E51" s="753"/>
      <c r="F51" s="815"/>
      <c r="G51" s="730"/>
      <c r="I51" s="584" t="str">
        <v>Defect Resolution Rate</v>
      </c>
      <c r="J51" s="624" t="str">
        <f>IF(I51&lt;&gt;"",IF(_xlfn.XLOOKUP(I51,KPI_monthly[KPI Name],KPI_monthly[Current Value])&lt;&gt;"",_xlfn.XLOOKUP(I51,KPI_monthly[KPI Name],KPI_monthly[Current Value]),0%),"")</f>
        <v>95 %</v>
      </c>
      <c r="K51" s="625">
        <f>IFERROR(IF(I51&lt;&gt;"",VALUE(SUBSTITUTE(SUBSTITUTE(_xlfn.XLOOKUP(I51,KPI_monthly[KPI Name],KPI_monthly[Green Threshold]),"&gt;",""),"&lt;","")),""),"")</f>
        <v>0.95</v>
      </c>
      <c r="L51" s="626" t="str">
        <f>IF(I51&lt;&gt;"",_xlfn.XLOOKUP(I51,KPI_monthly[KPI Name],KPI_monthly[Status]),"")</f>
        <v>Green</v>
      </c>
      <c r="M51" s="511"/>
      <c r="N51" s="633"/>
      <c r="O51" s="634"/>
      <c r="P51" s="634"/>
      <c r="Q51" s="634"/>
      <c r="R51" s="634"/>
      <c r="S51" s="634"/>
      <c r="T51" s="634"/>
      <c r="U51" s="635"/>
      <c r="V51" s="476"/>
      <c r="AH51" s="641" t="str">
        <f t="shared" si="0"/>
        <v>Defect Resolution Rate</v>
      </c>
      <c r="AI51" s="642">
        <f t="shared" si="1"/>
        <v>0.95</v>
      </c>
      <c r="AJ51" s="642">
        <f t="shared" si="2"/>
        <v>0.95</v>
      </c>
    </row>
    <row r="52" spans="1:36" ht="135" customHeight="1">
      <c r="A52" s="748"/>
      <c r="C52" s="810" t="s">
        <v>1830</v>
      </c>
      <c r="D52" s="752">
        <f>COUNTIF(KPI_monthly[Status], "Green")</f>
        <v>4</v>
      </c>
      <c r="E52" s="752" t="str" cm="1">
        <f t="array" ref="E52">IF(
  SUM(COUNTIFS(KPI_monthly[Objectives],
    {"Deliver Projects on Time &amp; Budget","Deliver Quality Homes","Regulatory Compliance","Governance &amp; Compliance","Stakeholder Confidence","Deliver Projects Sustainably","Deliver projects according to original agreed outcomes"},
    KPI_monthly[Status],"Green"))=0,
  "No Metrics In This Category",
  _xlfn.TEXTJOIN(", ",TRUE,
    IF(COUNTIFS(KPI_monthly[Objectives],"Deliver Projects on Time &amp; Budget",KPI_monthly[Status],"Green")&gt;0,"Deliver Projects on Time &amp; Budget (" &amp; COUNTIFS(KPI_monthly[Objectives],"Deliver Projects on Time &amp; Budget",KPI_monthly[Status],"Green") &amp; "/" &amp; COUNTIF(KPI_monthly[Objectives],"Deliver Projects on Time &amp; Budget") &amp; ")", ""),
    IF(COUNTIFS(KPI_monthly[Objectives],"Deliver Quality Homes",KPI_monthly[Status],"Green")&gt;0,"Deliver Quality Homes (" &amp; COUNTIFS(KPI_monthly[Objectives],"Deliver Quality Homes",KPI_monthly[Status],"Green") &amp; "/" &amp; COUNTIF(KPI_monthly[Objectives],"Deliver Quality Homes") &amp; ")", ""),
    IF(COUNTIFS(KPI_monthly[Objectives],"Regulatory Compliance",KPI_monthly[Status],"Green")&gt;0,"Regulatory Compliance (" &amp; COUNTIFS(KPI_monthly[Objectives],"Regulatory Compliance",KPI_monthly[Status],"Green") &amp; "/" &amp; COUNTIF(KPI_monthly[Objectives],"Regulatory Compliance") &amp; ")", ""),
    IF(COUNTIFS(KPI_monthly[Objectives],"Governance &amp; Compliance",KPI_monthly[Status],"Green")&gt;0,"Governance &amp; Compliance (" &amp; COUNTIFS(KPI_monthly[Objectives],"Governance &amp; Compliance",KPI_monthly[Status],"Green") &amp; "/" &amp; COUNTIF(KPI_monthly[Objectives],"Governance &amp; Compliance") &amp; ")", ""),
    IF(COUNTIFS(KPI_monthly[Objectives],"Stakeholder Confidence",KPI_monthly[Status],"Green")&gt;0,"Stakeholder Confidence (" &amp; COUNTIFS(KPI_monthly[Objectives],"Stakeholder Confidence",KPI_monthly[Status],"Green") &amp; "/" &amp; COUNTIF(KPI_monthly[Objectives],"Stakeholder Confidence") &amp; ")", ""),
    IF(COUNTIFS(KPI_monthly[Objectives],"Deliver Projects Sustainably",KPI_monthly[Status],"Green")&gt;0,"Deliver Projects Sustainably (" &amp; COUNTIFS(KPI_monthly[Objectives],"Deliver Projects Sustainably",KPI_monthly[Status],"Green") &amp; "/" &amp; COUNTIF(KPI_monthly[Objectives],"Deliver Projects Sustainably") &amp; ")", ""),
    IF(COUNTIFS(KPI_monthly[Objectives],"Deliver projects according to original agreed outcomes",KPI_monthly[Status],"Green")&gt;0,"Deliver projects according to original agreed outcomes (" &amp; COUNTIFS(KPI_monthly[Objectives],"Deliver projects according to original agreed outcomes",KPI_monthly[Status],"Green") &amp; "/" &amp; COUNTIF(KPI_monthly[Objectives],"Deliver projects according to original agreed outcomes") &amp; ")", "")
  )
)</f>
        <v>Deliver Projects on Time &amp; Budget (2/6), Deliver Quality Homes (2/3)</v>
      </c>
      <c r="F52" s="815"/>
      <c r="G52" s="730"/>
      <c r="I52" s="584" t="str">
        <v>Quality Assurance Success</v>
      </c>
      <c r="J52" s="624" t="str">
        <f>IF(I52&lt;&gt;"",IF(_xlfn.XLOOKUP(I52,KPI_monthly[KPI Name],KPI_monthly[Current Value])&lt;&gt;"",_xlfn.XLOOKUP(I52,KPI_monthly[KPI Name],KPI_monthly[Current Value]),0%),"")</f>
        <v>50 %</v>
      </c>
      <c r="K52" s="625">
        <f>IFERROR(IF(I52&lt;&gt;"",VALUE(SUBSTITUTE(SUBSTITUTE(_xlfn.XLOOKUP(I52,KPI_monthly[KPI Name],KPI_monthly[Green Threshold]),"&gt;",""),"&lt;","")),""),"")</f>
        <v>0.9</v>
      </c>
      <c r="L52" s="626" t="str">
        <f>IF(I52&lt;&gt;"",_xlfn.XLOOKUP(I52,KPI_monthly[KPI Name],KPI_monthly[Status]),"")</f>
        <v>Red</v>
      </c>
      <c r="M52" s="511"/>
      <c r="N52" s="633"/>
      <c r="O52" s="634"/>
      <c r="P52" s="634"/>
      <c r="Q52" s="634"/>
      <c r="R52" s="634"/>
      <c r="S52" s="634"/>
      <c r="T52" s="634"/>
      <c r="U52" s="635"/>
      <c r="V52" s="476"/>
      <c r="AH52" s="641" t="str">
        <f t="shared" si="0"/>
        <v>Quality Assurance Success</v>
      </c>
      <c r="AI52" s="642">
        <f t="shared" si="1"/>
        <v>0.5</v>
      </c>
      <c r="AJ52" s="642">
        <f t="shared" si="2"/>
        <v>0.9</v>
      </c>
    </row>
    <row r="53" spans="1:36" ht="135" customHeight="1" thickBot="1">
      <c r="A53" s="748"/>
      <c r="C53" s="811"/>
      <c r="D53" s="753"/>
      <c r="E53" s="812"/>
      <c r="F53" s="816"/>
      <c r="G53" s="733"/>
      <c r="I53" s="584" t="str">
        <v>Post-Occupancy Satisfaction</v>
      </c>
      <c r="J53" s="624" t="str">
        <f>IF(I53&lt;&gt;"",IF(_xlfn.XLOOKUP(I53,KPI_monthly[KPI Name],KPI_monthly[Current Value])&lt;&gt;"",_xlfn.XLOOKUP(I53,KPI_monthly[KPI Name],KPI_monthly[Current Value]),0%),"")</f>
        <v>140 %</v>
      </c>
      <c r="K53" s="625">
        <f>IFERROR(IF(I53&lt;&gt;"",VALUE(SUBSTITUTE(SUBSTITUTE(_xlfn.XLOOKUP(I53,KPI_monthly[KPI Name],KPI_monthly[Green Threshold]),"&gt;",""),"&lt;","")),""),"")</f>
        <v>0.8</v>
      </c>
      <c r="L53" s="626" t="str">
        <f>IF(I53&lt;&gt;"",_xlfn.XLOOKUP(I53,KPI_monthly[KPI Name],KPI_monthly[Status]),"")</f>
        <v>Green</v>
      </c>
      <c r="M53" s="511"/>
      <c r="N53" s="633"/>
      <c r="O53" s="634"/>
      <c r="P53" s="634"/>
      <c r="Q53" s="634"/>
      <c r="R53" s="634"/>
      <c r="S53" s="634"/>
      <c r="T53" s="634"/>
      <c r="U53" s="635"/>
      <c r="V53" s="476"/>
      <c r="AH53" s="641" t="str">
        <f t="shared" si="0"/>
        <v>Post-Occupancy Satisfaction</v>
      </c>
      <c r="AI53" s="642">
        <f t="shared" si="1"/>
        <v>1.4</v>
      </c>
      <c r="AJ53" s="642">
        <f t="shared" si="2"/>
        <v>0.8</v>
      </c>
    </row>
    <row r="54" spans="1:36" ht="135" customHeight="1">
      <c r="A54" s="748"/>
      <c r="I54" s="584" t="str">
        <v>Reporting Timeliness</v>
      </c>
      <c r="J54" s="624">
        <f>IF(I54&lt;&gt;"",IF(_xlfn.XLOOKUP(I54,KPI_monthly[KPI Name],KPI_monthly[Current Value])&lt;&gt;"",_xlfn.XLOOKUP(I54,KPI_monthly[KPI Name],KPI_monthly[Current Value]),0%),"")</f>
        <v>0</v>
      </c>
      <c r="K54" s="625">
        <f>IFERROR(IF(I54&lt;&gt;"",VALUE(SUBSTITUTE(SUBSTITUTE(_xlfn.XLOOKUP(I54,KPI_monthly[KPI Name],KPI_monthly[Green Threshold]),"&gt;",""),"&lt;","")),""),"")</f>
        <v>0.95</v>
      </c>
      <c r="L54" s="626">
        <f>IF(I54&lt;&gt;"",_xlfn.XLOOKUP(I54,KPI_monthly[KPI Name],KPI_monthly[Status]),"")</f>
        <v>0</v>
      </c>
      <c r="M54" s="511"/>
      <c r="N54" s="633"/>
      <c r="O54" s="634"/>
      <c r="P54" s="634"/>
      <c r="Q54" s="634"/>
      <c r="R54" s="634"/>
      <c r="S54" s="634"/>
      <c r="T54" s="634"/>
      <c r="U54" s="635"/>
      <c r="V54" s="476"/>
      <c r="AH54" s="641" t="str">
        <f t="shared" si="0"/>
        <v>Reporting Timeliness</v>
      </c>
      <c r="AI54" s="642">
        <f t="shared" si="1"/>
        <v>0</v>
      </c>
      <c r="AJ54" s="642">
        <f t="shared" si="2"/>
        <v>0.95</v>
      </c>
    </row>
    <row r="55" spans="1:36" ht="135" customHeight="1" thickBot="1">
      <c r="A55" s="748"/>
      <c r="I55" s="584" t="str">
        <v>Contractor Performance Index</v>
      </c>
      <c r="J55" s="624">
        <f>IF(I55&lt;&gt;"",IF(_xlfn.XLOOKUP(I55,KPI_monthly[KPI Name],KPI_monthly[Current Value])&lt;&gt;"",_xlfn.XLOOKUP(I55,KPI_monthly[KPI Name],KPI_monthly[Current Value]),0%),"")</f>
        <v>0</v>
      </c>
      <c r="K55" s="625">
        <f>IFERROR(IF(I55&lt;&gt;"",VALUE(SUBSTITUTE(SUBSTITUTE(_xlfn.XLOOKUP(I55,KPI_monthly[KPI Name],KPI_monthly[Green Threshold]),"&gt;",""),"&lt;","")),""),"")</f>
        <v>0.85</v>
      </c>
      <c r="L55" s="626">
        <f>IF(I55&lt;&gt;"",_xlfn.XLOOKUP(I55,KPI_monthly[KPI Name],KPI_monthly[Status]),"")</f>
        <v>0</v>
      </c>
      <c r="M55" s="511"/>
      <c r="N55" s="633"/>
      <c r="O55" s="634"/>
      <c r="P55" s="634"/>
      <c r="Q55" s="634"/>
      <c r="R55" s="634"/>
      <c r="S55" s="634"/>
      <c r="T55" s="634"/>
      <c r="U55" s="635"/>
      <c r="V55" s="476"/>
      <c r="AH55" s="641" t="str">
        <f t="shared" si="0"/>
        <v>Contractor Performance Index</v>
      </c>
      <c r="AI55" s="642">
        <f t="shared" si="1"/>
        <v>0</v>
      </c>
      <c r="AJ55" s="642">
        <f t="shared" si="2"/>
        <v>0.85</v>
      </c>
    </row>
    <row r="56" spans="1:36" ht="135" customHeight="1">
      <c r="A56" s="748"/>
      <c r="C56" s="734" t="s">
        <v>1640</v>
      </c>
      <c r="D56" s="735"/>
      <c r="E56" s="735"/>
      <c r="F56" s="735"/>
      <c r="G56" s="736"/>
      <c r="I56" s="584" t="str">
        <v>Safety Performance Index</v>
      </c>
      <c r="J56" s="624">
        <f>IF(I56&lt;&gt;"",IF(_xlfn.XLOOKUP(I56,KPI_monthly[KPI Name],KPI_monthly[Current Value])&lt;&gt;"",_xlfn.XLOOKUP(I56,KPI_monthly[KPI Name],KPI_monthly[Current Value]),0%),"")</f>
        <v>0</v>
      </c>
      <c r="K56" s="625">
        <f>IFERROR(IF(I56&lt;&gt;"",VALUE(SUBSTITUTE(SUBSTITUTE(_xlfn.XLOOKUP(I56,KPI_monthly[KPI Name],KPI_monthly[Green Threshold]),"&gt;",""),"&lt;","")),""),"")</f>
        <v>0.5</v>
      </c>
      <c r="L56" s="626">
        <f>IF(I56&lt;&gt;"",_xlfn.XLOOKUP(I56,KPI_monthly[KPI Name],KPI_monthly[Status]),"")</f>
        <v>0</v>
      </c>
      <c r="M56" s="511"/>
      <c r="N56" s="633"/>
      <c r="O56" s="634"/>
      <c r="P56" s="634"/>
      <c r="Q56" s="634"/>
      <c r="R56" s="634"/>
      <c r="S56" s="634"/>
      <c r="T56" s="634"/>
      <c r="U56" s="635"/>
      <c r="V56" s="476"/>
      <c r="AH56" s="641" t="str">
        <f t="shared" si="0"/>
        <v>Safety Performance Index</v>
      </c>
      <c r="AI56" s="642">
        <f t="shared" si="1"/>
        <v>0</v>
      </c>
      <c r="AJ56" s="642">
        <f t="shared" si="2"/>
        <v>0.5</v>
      </c>
    </row>
    <row r="57" spans="1:36" ht="135" customHeight="1">
      <c r="A57" s="748"/>
      <c r="C57" s="766"/>
      <c r="D57" s="767"/>
      <c r="E57" s="767"/>
      <c r="F57" s="767"/>
      <c r="G57" s="768"/>
      <c r="I57" s="584" t="str">
        <v>Project Outcome Alignment Index</v>
      </c>
      <c r="J57" s="624">
        <f>IF(I57&lt;&gt;"",IF(_xlfn.XLOOKUP(I57,KPI_monthly[KPI Name],KPI_monthly[Current Value])&lt;&gt;"",_xlfn.XLOOKUP(I57,KPI_monthly[KPI Name],KPI_monthly[Current Value]),0%),"")</f>
        <v>0</v>
      </c>
      <c r="K57" s="625">
        <f>IFERROR(IF(I57&lt;&gt;"",VALUE(SUBSTITUTE(SUBSTITUTE(_xlfn.XLOOKUP(I57,KPI_monthly[KPI Name],KPI_monthly[Green Threshold]),"&gt;",""),"&lt;","")),""),"")</f>
        <v>0.95</v>
      </c>
      <c r="L57" s="626">
        <f>IF(I57&lt;&gt;"",_xlfn.XLOOKUP(I57,KPI_monthly[KPI Name],KPI_monthly[Status]),"")</f>
        <v>0</v>
      </c>
      <c r="M57" s="511"/>
      <c r="N57" s="633"/>
      <c r="O57" s="634"/>
      <c r="P57" s="634"/>
      <c r="Q57" s="634"/>
      <c r="R57" s="634"/>
      <c r="S57" s="634"/>
      <c r="T57" s="634"/>
      <c r="U57" s="635"/>
      <c r="V57" s="476"/>
      <c r="AH57" s="641" t="str">
        <f t="shared" si="0"/>
        <v>Project Outcome Alignment Index</v>
      </c>
      <c r="AI57" s="642">
        <f t="shared" si="1"/>
        <v>0</v>
      </c>
      <c r="AJ57" s="642">
        <f t="shared" si="2"/>
        <v>0.95</v>
      </c>
    </row>
    <row r="58" spans="1:36" ht="135" customHeight="1" thickBot="1">
      <c r="A58" s="748"/>
      <c r="C58" s="766"/>
      <c r="D58" s="767"/>
      <c r="E58" s="767"/>
      <c r="F58" s="767"/>
      <c r="G58" s="768"/>
      <c r="I58" s="584"/>
      <c r="J58" s="624" t="str">
        <f>IF(I58&lt;&gt;"",IF(_xlfn.XLOOKUP(I58,KPI_monthly[KPI Name],KPI_monthly[Current Value])&lt;&gt;"",_xlfn.XLOOKUP(I58,KPI_monthly[KPI Name],KPI_monthly[Current Value]),0%),"")</f>
        <v/>
      </c>
      <c r="K58" s="625" t="str">
        <f>IFERROR(IF(I58&lt;&gt;"",VALUE(SUBSTITUTE(SUBSTITUTE(_xlfn.XLOOKUP(I58,KPI_monthly[KPI Name],KPI_monthly[Green Threshold]),"&gt;",""),"&lt;","")),""),"")</f>
        <v/>
      </c>
      <c r="L58" s="626" t="str">
        <f>IF(I58&lt;&gt;"",_xlfn.XLOOKUP(I58,KPI_monthly[KPI Name],KPI_monthly[Status]),"")</f>
        <v/>
      </c>
      <c r="M58" s="511"/>
      <c r="N58" s="633"/>
      <c r="O58" s="634"/>
      <c r="P58" s="634"/>
      <c r="Q58" s="634"/>
      <c r="R58" s="634"/>
      <c r="S58" s="634"/>
      <c r="T58" s="634"/>
      <c r="U58" s="635"/>
      <c r="V58" s="476"/>
      <c r="AH58" s="641" t="str">
        <f t="shared" si="0"/>
        <v/>
      </c>
      <c r="AI58" s="642">
        <f t="shared" si="1"/>
        <v>0</v>
      </c>
      <c r="AJ58" s="642" t="str">
        <f t="shared" si="2"/>
        <v/>
      </c>
    </row>
    <row r="59" spans="1:36" ht="135" customHeight="1" thickBot="1">
      <c r="A59" s="748"/>
      <c r="C59" s="765" t="s">
        <v>1147</v>
      </c>
      <c r="D59" s="765" t="s">
        <v>1148</v>
      </c>
      <c r="E59" s="818" t="s">
        <v>1255</v>
      </c>
      <c r="F59" s="818"/>
      <c r="G59" s="819"/>
      <c r="I59" s="584"/>
      <c r="J59" s="624" t="str">
        <f>IF(I59&lt;&gt;"",IF(_xlfn.XLOOKUP(I59,KPI_monthly[KPI Name],KPI_monthly[Current Value])&lt;&gt;"",_xlfn.XLOOKUP(I59,KPI_monthly[KPI Name],KPI_monthly[Current Value]),0%),"")</f>
        <v/>
      </c>
      <c r="K59" s="625" t="str">
        <f>IFERROR(IF(I59&lt;&gt;"",VALUE(SUBSTITUTE(SUBSTITUTE(_xlfn.XLOOKUP(I59,KPI_monthly[KPI Name],KPI_monthly[Green Threshold]),"&gt;",""),"&lt;","")),""),"")</f>
        <v/>
      </c>
      <c r="L59" s="626" t="str">
        <f>IF(I59&lt;&gt;"",_xlfn.XLOOKUP(I59,KPI_monthly[KPI Name],KPI_monthly[Status]),"")</f>
        <v/>
      </c>
      <c r="M59" s="511"/>
      <c r="N59" s="633"/>
      <c r="O59" s="634"/>
      <c r="P59" s="634"/>
      <c r="Q59" s="634"/>
      <c r="R59" s="634"/>
      <c r="S59" s="634"/>
      <c r="T59" s="634"/>
      <c r="U59" s="635"/>
      <c r="V59" s="476"/>
      <c r="AH59" s="641" t="str">
        <f t="shared" si="0"/>
        <v/>
      </c>
      <c r="AI59" s="642">
        <f t="shared" si="1"/>
        <v>0</v>
      </c>
      <c r="AJ59" s="642" t="str">
        <f t="shared" si="2"/>
        <v/>
      </c>
    </row>
    <row r="60" spans="1:36" ht="135" customHeight="1">
      <c r="A60" s="748"/>
      <c r="C60" s="765"/>
      <c r="D60" s="765"/>
      <c r="E60" s="798"/>
      <c r="F60" s="799"/>
      <c r="G60" s="800"/>
      <c r="I60" s="584"/>
      <c r="J60" s="624" t="str">
        <f>IF(I60&lt;&gt;"",IF(_xlfn.XLOOKUP(I60,KPI_monthly[KPI Name],KPI_monthly[Current Value])&lt;&gt;"",_xlfn.XLOOKUP(I60,KPI_monthly[KPI Name],KPI_monthly[Current Value]),0%),"")</f>
        <v/>
      </c>
      <c r="K60" s="625" t="str">
        <f>IFERROR(IF(I60&lt;&gt;"",VALUE(SUBSTITUTE(SUBSTITUTE(_xlfn.XLOOKUP(I60,KPI_monthly[KPI Name],KPI_monthly[Green Threshold]),"&gt;",""),"&lt;","")),""),"")</f>
        <v/>
      </c>
      <c r="L60" s="626" t="str">
        <f>IF(I60&lt;&gt;"",_xlfn.XLOOKUP(I60,KPI_monthly[KPI Name],KPI_monthly[Status]),"")</f>
        <v/>
      </c>
      <c r="M60" s="511"/>
      <c r="N60" s="633"/>
      <c r="O60" s="634"/>
      <c r="P60" s="634"/>
      <c r="Q60" s="634"/>
      <c r="R60" s="634"/>
      <c r="S60" s="634"/>
      <c r="T60" s="634"/>
      <c r="U60" s="635"/>
      <c r="V60" s="476"/>
      <c r="AH60" s="641" t="str">
        <f t="shared" si="0"/>
        <v/>
      </c>
      <c r="AI60" s="642">
        <f t="shared" si="1"/>
        <v>0</v>
      </c>
      <c r="AJ60" s="642" t="str">
        <f t="shared" si="2"/>
        <v/>
      </c>
    </row>
    <row r="61" spans="1:36" ht="135" customHeight="1">
      <c r="A61" s="748"/>
      <c r="C61" s="817" t="s">
        <v>1237</v>
      </c>
      <c r="D61" s="809">
        <f>COUNTIF(KPI_KRI_table[Impact Assessment],C61)</f>
        <v>1</v>
      </c>
      <c r="E61" s="801"/>
      <c r="F61" s="802"/>
      <c r="G61" s="803"/>
      <c r="I61" s="584"/>
      <c r="J61" s="624" t="str">
        <f>IF(I61&lt;&gt;"",IF(_xlfn.XLOOKUP(I61,KPI_monthly[KPI Name],KPI_monthly[Current Value])&lt;&gt;"",_xlfn.XLOOKUP(I61,KPI_monthly[KPI Name],KPI_monthly[Current Value]),0%),"")</f>
        <v/>
      </c>
      <c r="K61" s="625" t="str">
        <f>IFERROR(IF(I61&lt;&gt;"",VALUE(SUBSTITUTE(SUBSTITUTE(_xlfn.XLOOKUP(I61,KPI_monthly[KPI Name],KPI_monthly[Green Threshold]),"&gt;",""),"&lt;","")),""),"")</f>
        <v/>
      </c>
      <c r="L61" s="626" t="str">
        <f>IF(I61&lt;&gt;"",_xlfn.XLOOKUP(I61,KPI_monthly[KPI Name],KPI_monthly[Status]),"")</f>
        <v/>
      </c>
      <c r="M61" s="511"/>
      <c r="N61" s="633"/>
      <c r="O61" s="634"/>
      <c r="P61" s="634"/>
      <c r="Q61" s="634"/>
      <c r="R61" s="634"/>
      <c r="S61" s="634"/>
      <c r="T61" s="634"/>
      <c r="U61" s="635"/>
      <c r="V61" s="476"/>
      <c r="AH61" s="641" t="str">
        <f t="shared" si="0"/>
        <v/>
      </c>
      <c r="AI61" s="642">
        <f t="shared" si="1"/>
        <v>0</v>
      </c>
      <c r="AJ61" s="642" t="str">
        <f t="shared" si="2"/>
        <v/>
      </c>
    </row>
    <row r="62" spans="1:36" ht="135" customHeight="1">
      <c r="A62" s="748"/>
      <c r="C62" s="817"/>
      <c r="D62" s="809"/>
      <c r="E62" s="801"/>
      <c r="F62" s="802"/>
      <c r="G62" s="803"/>
      <c r="I62" s="584"/>
      <c r="J62" s="624" t="str">
        <f>IF(I62&lt;&gt;"",IF(_xlfn.XLOOKUP(I62,KPI_monthly[KPI Name],KPI_monthly[Current Value])&lt;&gt;"",_xlfn.XLOOKUP(I62,KPI_monthly[KPI Name],KPI_monthly[Current Value]),0%),"")</f>
        <v/>
      </c>
      <c r="K62" s="625" t="str">
        <f>IFERROR(IF(I62&lt;&gt;"",VALUE(SUBSTITUTE(SUBSTITUTE(_xlfn.XLOOKUP(I62,KPI_monthly[KPI Name],KPI_monthly[Green Threshold]),"&gt;",""),"&lt;","")),""),"")</f>
        <v/>
      </c>
      <c r="L62" s="626" t="str">
        <f>IF(I62&lt;&gt;"",_xlfn.XLOOKUP(I62,KPI_monthly[KPI Name],KPI_monthly[Status]),"")</f>
        <v/>
      </c>
      <c r="M62" s="511"/>
      <c r="N62" s="633"/>
      <c r="O62" s="634"/>
      <c r="P62" s="634"/>
      <c r="Q62" s="634"/>
      <c r="R62" s="634"/>
      <c r="S62" s="634"/>
      <c r="T62" s="634"/>
      <c r="U62" s="635"/>
      <c r="V62" s="476"/>
      <c r="AH62" s="641" t="str">
        <f t="shared" si="0"/>
        <v/>
      </c>
      <c r="AI62" s="642">
        <f t="shared" si="1"/>
        <v>0</v>
      </c>
      <c r="AJ62" s="642" t="str">
        <f t="shared" si="2"/>
        <v/>
      </c>
    </row>
    <row r="63" spans="1:36" ht="135" customHeight="1">
      <c r="A63" s="748"/>
      <c r="C63" s="797" t="s">
        <v>392</v>
      </c>
      <c r="D63" s="809">
        <f>COUNTIF(KPI_KRI_table[Impact Assessment],C63)</f>
        <v>5</v>
      </c>
      <c r="E63" s="801"/>
      <c r="F63" s="802"/>
      <c r="G63" s="803"/>
      <c r="I63" s="584"/>
      <c r="J63" s="624" t="str">
        <f>IF(I63&lt;&gt;"",IF(_xlfn.XLOOKUP(I63,KPI_monthly[KPI Name],KPI_monthly[Current Value])&lt;&gt;"",_xlfn.XLOOKUP(I63,KPI_monthly[KPI Name],KPI_monthly[Current Value]),0%),"")</f>
        <v/>
      </c>
      <c r="K63" s="625" t="str">
        <f>IFERROR(IF(I63&lt;&gt;"",VALUE(SUBSTITUTE(SUBSTITUTE(_xlfn.XLOOKUP(I63,KPI_monthly[KPI Name],KPI_monthly[Green Threshold]),"&gt;",""),"&lt;","")),""),"")</f>
        <v/>
      </c>
      <c r="L63" s="626" t="str">
        <f>IF(I63&lt;&gt;"",_xlfn.XLOOKUP(I63,KPI_monthly[KPI Name],KPI_monthly[Status]),"")</f>
        <v/>
      </c>
      <c r="M63" s="511"/>
      <c r="N63" s="633"/>
      <c r="O63" s="634"/>
      <c r="P63" s="634"/>
      <c r="Q63" s="634"/>
      <c r="R63" s="634"/>
      <c r="S63" s="634"/>
      <c r="T63" s="634"/>
      <c r="U63" s="635"/>
      <c r="V63" s="476"/>
      <c r="AH63" s="641" t="str">
        <f t="shared" si="0"/>
        <v/>
      </c>
      <c r="AI63" s="642">
        <f t="shared" si="1"/>
        <v>0</v>
      </c>
      <c r="AJ63" s="642" t="str">
        <f t="shared" si="2"/>
        <v/>
      </c>
    </row>
    <row r="64" spans="1:36" ht="135" customHeight="1">
      <c r="A64" s="748"/>
      <c r="C64" s="797"/>
      <c r="D64" s="809"/>
      <c r="E64" s="801"/>
      <c r="F64" s="802"/>
      <c r="G64" s="803"/>
      <c r="I64" s="584"/>
      <c r="J64" s="624" t="str">
        <f>IF(I64&lt;&gt;"",IF(_xlfn.XLOOKUP(I64,KPI_monthly[KPI Name],KPI_monthly[Current Value])&lt;&gt;"",_xlfn.XLOOKUP(I64,KPI_monthly[KPI Name],KPI_monthly[Current Value]),0%),"")</f>
        <v/>
      </c>
      <c r="K64" s="625" t="str">
        <f>IFERROR(IF(I64&lt;&gt;"",VALUE(SUBSTITUTE(SUBSTITUTE(_xlfn.XLOOKUP(I64,KPI_monthly[KPI Name],KPI_monthly[Green Threshold]),"&gt;",""),"&lt;","")),""),"")</f>
        <v/>
      </c>
      <c r="L64" s="626" t="str">
        <f>IF(I64&lt;&gt;"",_xlfn.XLOOKUP(I64,KPI_monthly[KPI Name],KPI_monthly[Status]),"")</f>
        <v/>
      </c>
      <c r="M64" s="511"/>
      <c r="N64" s="633"/>
      <c r="O64" s="634"/>
      <c r="P64" s="634"/>
      <c r="Q64" s="634"/>
      <c r="R64" s="634"/>
      <c r="S64" s="634"/>
      <c r="T64" s="634"/>
      <c r="U64" s="635"/>
      <c r="V64" s="476"/>
      <c r="AH64" s="641" t="str">
        <f t="shared" si="0"/>
        <v/>
      </c>
      <c r="AI64" s="642">
        <f t="shared" si="1"/>
        <v>0</v>
      </c>
      <c r="AJ64" s="642" t="str">
        <f t="shared" si="2"/>
        <v/>
      </c>
    </row>
    <row r="65" spans="1:36" ht="135" customHeight="1">
      <c r="A65" s="748"/>
      <c r="C65" s="807" t="s">
        <v>391</v>
      </c>
      <c r="D65" s="809">
        <f>COUNTIF(KPI_KRI_table[Impact Assessment],C65)</f>
        <v>7</v>
      </c>
      <c r="E65" s="801"/>
      <c r="F65" s="802"/>
      <c r="G65" s="803"/>
      <c r="I65" s="584"/>
      <c r="J65" s="624" t="str">
        <f>IF(I65&lt;&gt;"",IF(_xlfn.XLOOKUP(I65,KPI_monthly[KPI Name],KPI_monthly[Current Value])&lt;&gt;"",_xlfn.XLOOKUP(I65,KPI_monthly[KPI Name],KPI_monthly[Current Value]),0%),"")</f>
        <v/>
      </c>
      <c r="K65" s="625" t="str">
        <f>IFERROR(IF(I65&lt;&gt;"",VALUE(SUBSTITUTE(SUBSTITUTE(_xlfn.XLOOKUP(I65,KPI_monthly[KPI Name],KPI_monthly[Green Threshold]),"&gt;",""),"&lt;","")),""),"")</f>
        <v/>
      </c>
      <c r="L65" s="626" t="str">
        <f>IF(I65&lt;&gt;"",_xlfn.XLOOKUP(I65,KPI_monthly[KPI Name],KPI_monthly[Status]),"")</f>
        <v/>
      </c>
      <c r="M65" s="511"/>
      <c r="N65" s="633"/>
      <c r="O65" s="634"/>
      <c r="P65" s="634"/>
      <c r="Q65" s="634"/>
      <c r="R65" s="634"/>
      <c r="S65" s="634"/>
      <c r="T65" s="634"/>
      <c r="U65" s="635"/>
      <c r="V65" s="476"/>
      <c r="AH65" s="641" t="str">
        <f t="shared" si="0"/>
        <v/>
      </c>
      <c r="AI65" s="642">
        <f t="shared" si="1"/>
        <v>0</v>
      </c>
      <c r="AJ65" s="642" t="str">
        <f t="shared" si="2"/>
        <v/>
      </c>
    </row>
    <row r="66" spans="1:36" ht="135" customHeight="1">
      <c r="A66" s="748"/>
      <c r="C66" s="807"/>
      <c r="D66" s="809"/>
      <c r="E66" s="801"/>
      <c r="F66" s="802"/>
      <c r="G66" s="803"/>
      <c r="I66" s="584"/>
      <c r="J66" s="624" t="str">
        <f>IF(I66&lt;&gt;"",IF(_xlfn.XLOOKUP(I66,KPI_monthly[KPI Name],KPI_monthly[Current Value])&lt;&gt;"",_xlfn.XLOOKUP(I66,KPI_monthly[KPI Name],KPI_monthly[Current Value]),0%),"")</f>
        <v/>
      </c>
      <c r="K66" s="625" t="str">
        <f>IFERROR(IF(I66&lt;&gt;"",VALUE(SUBSTITUTE(SUBSTITUTE(_xlfn.XLOOKUP(I66,KPI_monthly[KPI Name],KPI_monthly[Green Threshold]),"&gt;",""),"&lt;","")),""),"")</f>
        <v/>
      </c>
      <c r="L66" s="626" t="str">
        <f>IF(I66&lt;&gt;"",_xlfn.XLOOKUP(I66,KPI_monthly[KPI Name],KPI_monthly[Status]),"")</f>
        <v/>
      </c>
      <c r="M66" s="511"/>
      <c r="N66" s="633"/>
      <c r="O66" s="634"/>
      <c r="P66" s="634"/>
      <c r="Q66" s="634"/>
      <c r="R66" s="634"/>
      <c r="S66" s="634"/>
      <c r="T66" s="634"/>
      <c r="U66" s="635"/>
      <c r="V66" s="476"/>
      <c r="AH66" s="641" t="str">
        <f t="shared" si="0"/>
        <v/>
      </c>
      <c r="AI66" s="642">
        <f t="shared" si="1"/>
        <v>0</v>
      </c>
      <c r="AJ66" s="642" t="str">
        <f t="shared" si="2"/>
        <v/>
      </c>
    </row>
    <row r="67" spans="1:36" ht="135" customHeight="1">
      <c r="A67" s="748"/>
      <c r="C67" s="808" t="s">
        <v>390</v>
      </c>
      <c r="D67" s="809">
        <f>COUNTIF(KPI_KRI_table[Impact Assessment],C67)</f>
        <v>5</v>
      </c>
      <c r="E67" s="801"/>
      <c r="F67" s="802"/>
      <c r="G67" s="803"/>
      <c r="I67" s="584"/>
      <c r="J67" s="624" t="str">
        <f>IF(I67&lt;&gt;"",IF(_xlfn.XLOOKUP(I67,KPI_monthly[KPI Name],KPI_monthly[Current Value])&lt;&gt;"",_xlfn.XLOOKUP(I67,KPI_monthly[KPI Name],KPI_monthly[Current Value]),0%),"")</f>
        <v/>
      </c>
      <c r="K67" s="625" t="str">
        <f>IFERROR(IF(I67&lt;&gt;"",VALUE(SUBSTITUTE(SUBSTITUTE(_xlfn.XLOOKUP(I67,KPI_monthly[KPI Name],KPI_monthly[Green Threshold]),"&gt;",""),"&lt;","")),""),"")</f>
        <v/>
      </c>
      <c r="L67" s="626" t="str">
        <f>IF(I67&lt;&gt;"",_xlfn.XLOOKUP(I67,KPI_monthly[KPI Name],KPI_monthly[Status]),"")</f>
        <v/>
      </c>
      <c r="M67" s="511"/>
      <c r="N67" s="633"/>
      <c r="O67" s="634"/>
      <c r="P67" s="634"/>
      <c r="Q67" s="634"/>
      <c r="R67" s="634"/>
      <c r="S67" s="634"/>
      <c r="T67" s="634"/>
      <c r="U67" s="635"/>
      <c r="V67" s="476"/>
      <c r="AH67" s="641" t="str">
        <f t="shared" si="0"/>
        <v/>
      </c>
      <c r="AI67" s="642">
        <f t="shared" si="1"/>
        <v>0</v>
      </c>
      <c r="AJ67" s="642" t="str">
        <f t="shared" si="2"/>
        <v/>
      </c>
    </row>
    <row r="68" spans="1:36" ht="135" customHeight="1" thickBot="1">
      <c r="A68" s="748"/>
      <c r="C68" s="808"/>
      <c r="D68" s="809"/>
      <c r="E68" s="804"/>
      <c r="F68" s="805"/>
      <c r="G68" s="806"/>
      <c r="I68" s="585"/>
      <c r="J68" s="624" t="str">
        <f>IF(I68&lt;&gt;"",IF(_xlfn.XLOOKUP(I68,KPI_monthly[KPI Name],KPI_monthly[Current Value])&lt;&gt;"",_xlfn.XLOOKUP(I68,KPI_monthly[KPI Name],KPI_monthly[Current Value]),0%),"")</f>
        <v/>
      </c>
      <c r="K68" s="625" t="str">
        <f>IFERROR(IF(I68&lt;&gt;"",VALUE(SUBSTITUTE(SUBSTITUTE(_xlfn.XLOOKUP(I68,KPI_monthly[KPI Name],KPI_monthly[Green Threshold]),"&gt;",""),"&lt;","")),""),"")</f>
        <v/>
      </c>
      <c r="L68" s="626" t="str">
        <f>IF(I68&lt;&gt;"",_xlfn.XLOOKUP(I68,KPI_monthly[KPI Name],KPI_monthly[Status]),"")</f>
        <v/>
      </c>
      <c r="M68" s="511"/>
      <c r="N68" s="636"/>
      <c r="O68" s="637"/>
      <c r="P68" s="637"/>
      <c r="Q68" s="637"/>
      <c r="R68" s="637"/>
      <c r="S68" s="637"/>
      <c r="T68" s="637"/>
      <c r="U68" s="638"/>
      <c r="V68" s="476"/>
      <c r="AH68" s="641" t="str">
        <f t="shared" si="0"/>
        <v/>
      </c>
      <c r="AI68" s="642">
        <f t="shared" si="1"/>
        <v>0</v>
      </c>
      <c r="AJ68" s="642" t="str">
        <f t="shared" si="2"/>
        <v/>
      </c>
    </row>
    <row r="69" spans="1:36" ht="38.1" customHeight="1" thickBot="1">
      <c r="A69" s="749"/>
      <c r="B69" s="479"/>
      <c r="C69" s="479"/>
      <c r="D69" s="479"/>
      <c r="E69" s="479"/>
      <c r="F69" s="479"/>
      <c r="G69" s="479"/>
      <c r="H69" s="479"/>
      <c r="I69" s="495"/>
      <c r="J69" s="479"/>
      <c r="K69" s="479"/>
      <c r="L69" s="479"/>
      <c r="M69" s="479"/>
      <c r="N69" s="479"/>
      <c r="O69" s="479"/>
      <c r="P69" s="479"/>
      <c r="Q69" s="479"/>
      <c r="R69" s="479"/>
      <c r="S69" s="479"/>
      <c r="T69" s="479"/>
      <c r="U69" s="479"/>
      <c r="V69" s="483"/>
    </row>
    <row r="70" spans="1:36" ht="45.6" customHeight="1" thickTop="1"/>
    <row r="71" spans="1:36" ht="45.6" customHeight="1"/>
    <row r="72" spans="1:36" ht="45.6" customHeight="1"/>
    <row r="73" spans="1:36" ht="45.6" customHeight="1"/>
    <row r="74" spans="1:36" ht="45.6" customHeight="1"/>
    <row r="75" spans="1:36" ht="45.6" customHeight="1"/>
  </sheetData>
  <mergeCells count="66">
    <mergeCell ref="N16:O17"/>
    <mergeCell ref="P16:U17"/>
    <mergeCell ref="P18:U23"/>
    <mergeCell ref="C43:E46"/>
    <mergeCell ref="F43:G46"/>
    <mergeCell ref="I28:L28"/>
    <mergeCell ref="C16:E19"/>
    <mergeCell ref="D22:E22"/>
    <mergeCell ref="D23:E23"/>
    <mergeCell ref="C30:C31"/>
    <mergeCell ref="C52:C53"/>
    <mergeCell ref="D52:D53"/>
    <mergeCell ref="E52:E53"/>
    <mergeCell ref="F47:G53"/>
    <mergeCell ref="C61:C62"/>
    <mergeCell ref="C56:G58"/>
    <mergeCell ref="E59:G59"/>
    <mergeCell ref="C63:C64"/>
    <mergeCell ref="E60:G68"/>
    <mergeCell ref="C65:C66"/>
    <mergeCell ref="C67:C68"/>
    <mergeCell ref="D61:D62"/>
    <mergeCell ref="D63:D64"/>
    <mergeCell ref="D65:D66"/>
    <mergeCell ref="D67:D68"/>
    <mergeCell ref="C59:C60"/>
    <mergeCell ref="D59:D60"/>
    <mergeCell ref="A1:A3"/>
    <mergeCell ref="C1:V1"/>
    <mergeCell ref="C3:V3"/>
    <mergeCell ref="A4:A13"/>
    <mergeCell ref="C5:E6"/>
    <mergeCell ref="F5:G6"/>
    <mergeCell ref="I5:J6"/>
    <mergeCell ref="K5:L6"/>
    <mergeCell ref="F7:G12"/>
    <mergeCell ref="K7:L12"/>
    <mergeCell ref="N9:P12"/>
    <mergeCell ref="R5:S6"/>
    <mergeCell ref="T7:U12"/>
    <mergeCell ref="T5:U6"/>
    <mergeCell ref="A27:A40"/>
    <mergeCell ref="C28:E29"/>
    <mergeCell ref="F28:G29"/>
    <mergeCell ref="C38:E39"/>
    <mergeCell ref="F38:G39"/>
    <mergeCell ref="D30:D31"/>
    <mergeCell ref="E30:E31"/>
    <mergeCell ref="C36:G37"/>
    <mergeCell ref="F30:G34"/>
    <mergeCell ref="A15:A25"/>
    <mergeCell ref="F16:G17"/>
    <mergeCell ref="F18:G23"/>
    <mergeCell ref="I43:L44"/>
    <mergeCell ref="I16:J17"/>
    <mergeCell ref="K16:L17"/>
    <mergeCell ref="K18:L23"/>
    <mergeCell ref="D20:E20"/>
    <mergeCell ref="D21:E21"/>
    <mergeCell ref="A42:A69"/>
    <mergeCell ref="C48:C49"/>
    <mergeCell ref="D48:D49"/>
    <mergeCell ref="E48:E49"/>
    <mergeCell ref="C50:C51"/>
    <mergeCell ref="D50:D51"/>
    <mergeCell ref="E50:E51"/>
  </mergeCells>
  <conditionalFormatting sqref="C26 C8:C12">
    <cfRule type="containsText" dxfId="439" priority="15" operator="containsText" text="Severe">
      <formula>NOT(ISERROR(SEARCH("Severe",C8)))</formula>
    </cfRule>
    <cfRule type="containsText" dxfId="438" priority="16" operator="containsText" text="Major">
      <formula>NOT(ISERROR(SEARCH("Major",C8)))</formula>
    </cfRule>
    <cfRule type="containsText" dxfId="437" priority="17" operator="containsText" text="Moderate">
      <formula>NOT(ISERROR(SEARCH("Moderate",C8)))</formula>
    </cfRule>
    <cfRule type="containsText" dxfId="436" priority="18" operator="containsText" text="Minor">
      <formula>NOT(ISERROR(SEARCH("Minor",C8)))</formula>
    </cfRule>
    <cfRule type="containsText" dxfId="435" priority="19" operator="containsText" text="Insignificant">
      <formula>NOT(ISERROR(SEARCH("Insignificant",C8)))</formula>
    </cfRule>
  </conditionalFormatting>
  <conditionalFormatting sqref="L46:L69">
    <cfRule type="containsText" dxfId="434" priority="10" operator="containsText" text="Amber">
      <formula>NOT(ISERROR(SEARCH("Amber",L46)))</formula>
    </cfRule>
    <cfRule type="containsText" dxfId="433" priority="11" operator="containsText" text="Red">
      <formula>NOT(ISERROR(SEARCH("Red",L46)))</formula>
    </cfRule>
    <cfRule type="containsText" dxfId="432" priority="12" operator="containsText" text="Green">
      <formula>NOT(ISERROR(SEARCH("Green",L46)))</formula>
    </cfRule>
  </conditionalFormatting>
  <conditionalFormatting sqref="C21:C23">
    <cfRule type="containsText" dxfId="431" priority="2" operator="containsText" text="High">
      <formula>NOT(ISERROR(SEARCH("High",C21)))</formula>
    </cfRule>
    <cfRule type="containsText" dxfId="430" priority="3" operator="containsText" text="Medium">
      <formula>NOT(ISERROR(SEARCH("Medium",C21)))</formula>
    </cfRule>
    <cfRule type="containsText" dxfId="429" priority="4" operator="containsText" text="Low">
      <formula>NOT(ISERROR(SEARCH("Low",C21)))</formula>
    </cfRule>
    <cfRule type="containsText" dxfId="428" priority="5" operator="containsText" text="Severe">
      <formula>NOT(ISERROR(SEARCH("Severe",C21)))</formula>
    </cfRule>
    <cfRule type="containsText" dxfId="427" priority="6" operator="containsText" text="Major">
      <formula>NOT(ISERROR(SEARCH("Major",C21)))</formula>
    </cfRule>
    <cfRule type="containsText" dxfId="426" priority="7" operator="containsText" text="Moderate">
      <formula>NOT(ISERROR(SEARCH("Moderate",C21)))</formula>
    </cfRule>
    <cfRule type="containsText" dxfId="425" priority="8" operator="containsText" text="Minor">
      <formula>NOT(ISERROR(SEARCH("Minor",C21)))</formula>
    </cfRule>
    <cfRule type="containsText" dxfId="424" priority="9" operator="containsText" text="Insignificant">
      <formula>NOT(ISERROR(SEARCH("Insignificant",C21)))</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2C133-EAC5-4878-8DA0-86725CAC0DF0}">
  <sheetPr codeName="Sheet15">
    <tabColor theme="9" tint="-0.249977111117893"/>
  </sheetPr>
  <dimension ref="A1:AG115"/>
  <sheetViews>
    <sheetView zoomScale="50" zoomScaleNormal="50" workbookViewId="0">
      <selection activeCell="C5" sqref="C5"/>
    </sheetView>
  </sheetViews>
  <sheetFormatPr defaultRowHeight="13.8"/>
  <cols>
    <col min="1" max="1" width="40.109375" style="294" customWidth="1"/>
    <col min="2" max="2" width="51.6640625" style="316" bestFit="1" customWidth="1"/>
    <col min="3" max="3" width="47.109375" style="316" bestFit="1" customWidth="1"/>
    <col min="4" max="4" width="45" style="316" bestFit="1" customWidth="1"/>
    <col min="5" max="5" width="35.88671875" style="294" bestFit="1" customWidth="1"/>
    <col min="6" max="6" width="52" style="294" bestFit="1" customWidth="1"/>
    <col min="7" max="7" width="45.88671875" style="294" customWidth="1"/>
    <col min="8" max="8" width="33.88671875" style="294" customWidth="1"/>
    <col min="9" max="9" width="56.109375" style="294" bestFit="1" customWidth="1"/>
    <col min="10" max="10" width="16.6640625" customWidth="1"/>
    <col min="11" max="11" width="15.33203125" customWidth="1"/>
    <col min="12" max="12" width="18.88671875" bestFit="1" customWidth="1"/>
    <col min="13" max="13" width="19.109375" bestFit="1" customWidth="1"/>
    <col min="14" max="14" width="11.44140625" bestFit="1" customWidth="1"/>
    <col min="15" max="15" width="9" bestFit="1" customWidth="1"/>
    <col min="16" max="16" width="14.88671875" bestFit="1" customWidth="1"/>
    <col min="17" max="17" width="57.5546875" bestFit="1" customWidth="1"/>
    <col min="18" max="18" width="39.109375" bestFit="1" customWidth="1"/>
    <col min="19" max="19" width="29.33203125" bestFit="1" customWidth="1"/>
    <col min="20" max="20" width="19.109375" customWidth="1"/>
    <col min="22" max="22" width="21.88671875" customWidth="1"/>
    <col min="24" max="24" width="20.88671875" customWidth="1"/>
    <col min="27" max="32" width="0" hidden="1" customWidth="1"/>
    <col min="38" max="38" width="40.33203125" customWidth="1"/>
    <col min="44" max="44" width="22.33203125" customWidth="1"/>
  </cols>
  <sheetData>
    <row r="1" spans="1:33" s="292" customFormat="1" ht="46.8">
      <c r="A1" s="325" t="s">
        <v>585</v>
      </c>
      <c r="B1" s="325" t="s">
        <v>844</v>
      </c>
      <c r="C1" s="647" t="s">
        <v>1039</v>
      </c>
      <c r="D1" s="647" t="s">
        <v>1153</v>
      </c>
      <c r="E1" s="647" t="s">
        <v>1041</v>
      </c>
      <c r="F1" s="647" t="s">
        <v>1040</v>
      </c>
      <c r="G1" s="647" t="s">
        <v>1042</v>
      </c>
      <c r="H1" s="647" t="s">
        <v>999</v>
      </c>
      <c r="I1" s="321" t="s">
        <v>1202</v>
      </c>
      <c r="M1" s="265" t="s">
        <v>585</v>
      </c>
      <c r="N1" s="265" t="s">
        <v>844</v>
      </c>
      <c r="O1" s="265" t="s">
        <v>1039</v>
      </c>
      <c r="P1" s="265" t="s">
        <v>1153</v>
      </c>
      <c r="Q1" s="265" t="s">
        <v>1041</v>
      </c>
      <c r="R1" s="274" t="s">
        <v>1040</v>
      </c>
      <c r="S1" s="274" t="s">
        <v>1042</v>
      </c>
      <c r="T1" s="274" t="s">
        <v>999</v>
      </c>
      <c r="AB1" s="208"/>
      <c r="AC1" s="208"/>
      <c r="AD1" s="208"/>
      <c r="AE1" s="208"/>
      <c r="AF1" s="208"/>
      <c r="AG1" s="208"/>
    </row>
    <row r="2" spans="1:33" ht="60">
      <c r="A2" s="323" t="s">
        <v>781</v>
      </c>
      <c r="B2" s="324" t="s">
        <v>1682</v>
      </c>
      <c r="C2" s="614" t="s">
        <v>2447</v>
      </c>
      <c r="D2" s="708"/>
      <c r="E2" s="648" t="s">
        <v>392</v>
      </c>
      <c r="F2" s="649" t="s">
        <v>2234</v>
      </c>
      <c r="G2" s="649" t="s">
        <v>2235</v>
      </c>
      <c r="H2" s="649" t="s">
        <v>2270</v>
      </c>
      <c r="I2" s="322" t="s">
        <v>1333</v>
      </c>
      <c r="M2" s="275" t="s">
        <v>781</v>
      </c>
      <c r="N2" s="275" t="s">
        <v>850</v>
      </c>
      <c r="O2" s="276">
        <v>2.1000000000000001E-2</v>
      </c>
      <c r="P2" s="277" t="s">
        <v>495</v>
      </c>
      <c r="Q2" s="278" t="s">
        <v>1045</v>
      </c>
      <c r="R2" s="275" t="s">
        <v>1044</v>
      </c>
      <c r="S2" s="275" t="s">
        <v>1046</v>
      </c>
      <c r="T2" s="279" t="s">
        <v>1047</v>
      </c>
      <c r="AB2" s="951" t="s">
        <v>998</v>
      </c>
      <c r="AC2" s="951"/>
      <c r="AD2" s="951"/>
      <c r="AE2" s="951"/>
      <c r="AF2" s="951"/>
      <c r="AG2" s="951"/>
    </row>
    <row r="3" spans="1:33" ht="60">
      <c r="A3" s="323" t="s">
        <v>1326</v>
      </c>
      <c r="B3" s="324" t="s">
        <v>1673</v>
      </c>
      <c r="C3" s="614" t="s">
        <v>2449</v>
      </c>
      <c r="D3" s="614" t="s">
        <v>2339</v>
      </c>
      <c r="E3" s="613" t="s">
        <v>391</v>
      </c>
      <c r="F3" s="649" t="s">
        <v>2236</v>
      </c>
      <c r="G3" s="649" t="s">
        <v>2237</v>
      </c>
      <c r="H3" s="649" t="s">
        <v>2271</v>
      </c>
      <c r="I3" s="322" t="s">
        <v>1333</v>
      </c>
      <c r="M3" s="280" t="s">
        <v>781</v>
      </c>
      <c r="N3" s="280" t="s">
        <v>684</v>
      </c>
      <c r="O3" s="281">
        <v>0.95</v>
      </c>
      <c r="P3" s="281" t="s">
        <v>495</v>
      </c>
      <c r="Q3" s="282" t="s">
        <v>1045</v>
      </c>
      <c r="R3" s="280" t="s">
        <v>1048</v>
      </c>
      <c r="S3" s="280" t="s">
        <v>1049</v>
      </c>
      <c r="T3" s="283" t="s">
        <v>1050</v>
      </c>
    </row>
    <row r="4" spans="1:33" ht="60">
      <c r="A4" s="323" t="s">
        <v>1329</v>
      </c>
      <c r="B4" s="324" t="s">
        <v>1682</v>
      </c>
      <c r="C4" s="614" t="s">
        <v>2447</v>
      </c>
      <c r="D4" s="613" t="s">
        <v>2005</v>
      </c>
      <c r="E4" s="648" t="s">
        <v>392</v>
      </c>
      <c r="F4" s="649" t="s">
        <v>2238</v>
      </c>
      <c r="G4" s="649" t="s">
        <v>2239</v>
      </c>
      <c r="H4" s="649" t="s">
        <v>2272</v>
      </c>
      <c r="I4" s="322" t="s">
        <v>1333</v>
      </c>
      <c r="M4" s="275" t="s">
        <v>781</v>
      </c>
      <c r="N4" s="275" t="s">
        <v>783</v>
      </c>
      <c r="O4" s="276">
        <v>2.5000000000000001E-2</v>
      </c>
      <c r="P4" s="277" t="s">
        <v>495</v>
      </c>
      <c r="Q4" s="278" t="s">
        <v>1052</v>
      </c>
      <c r="R4" s="275" t="s">
        <v>1051</v>
      </c>
      <c r="S4" s="275" t="s">
        <v>1053</v>
      </c>
      <c r="T4" s="279" t="s">
        <v>1054</v>
      </c>
    </row>
    <row r="5" spans="1:33" ht="66">
      <c r="A5" s="323" t="s">
        <v>1281</v>
      </c>
      <c r="B5" s="324" t="s">
        <v>1673</v>
      </c>
      <c r="C5" s="614" t="s">
        <v>2449</v>
      </c>
      <c r="D5" s="326" t="s">
        <v>2006</v>
      </c>
      <c r="E5" s="613" t="s">
        <v>391</v>
      </c>
      <c r="F5" s="649" t="s">
        <v>2240</v>
      </c>
      <c r="G5" s="649" t="s">
        <v>2241</v>
      </c>
      <c r="H5" s="649" t="s">
        <v>2273</v>
      </c>
      <c r="I5" s="322" t="s">
        <v>1333</v>
      </c>
      <c r="M5" s="280" t="s">
        <v>589</v>
      </c>
      <c r="N5" s="280" t="s">
        <v>864</v>
      </c>
      <c r="O5" s="281" t="s">
        <v>792</v>
      </c>
      <c r="P5" s="281" t="s">
        <v>992</v>
      </c>
      <c r="Q5" s="282" t="s">
        <v>1057</v>
      </c>
      <c r="R5" s="280" t="s">
        <v>1056</v>
      </c>
      <c r="S5" s="280" t="s">
        <v>1058</v>
      </c>
      <c r="T5" s="284" t="s">
        <v>1059</v>
      </c>
    </row>
    <row r="6" spans="1:33" ht="60">
      <c r="A6" s="323" t="s">
        <v>1716</v>
      </c>
      <c r="B6" s="324" t="s">
        <v>1685</v>
      </c>
      <c r="C6" s="614" t="s">
        <v>2448</v>
      </c>
      <c r="D6" s="613" t="s">
        <v>2003</v>
      </c>
      <c r="E6" s="613" t="s">
        <v>391</v>
      </c>
      <c r="F6" s="649" t="s">
        <v>2242</v>
      </c>
      <c r="G6" s="649" t="s">
        <v>2243</v>
      </c>
      <c r="H6" s="649" t="s">
        <v>2274</v>
      </c>
      <c r="I6" s="322" t="s">
        <v>1333</v>
      </c>
      <c r="M6" s="275" t="s">
        <v>644</v>
      </c>
      <c r="N6" s="275" t="s">
        <v>868</v>
      </c>
      <c r="O6" s="277" t="s">
        <v>871</v>
      </c>
      <c r="P6" s="277" t="s">
        <v>856</v>
      </c>
      <c r="Q6" s="278" t="s">
        <v>1061</v>
      </c>
      <c r="R6" s="275" t="s">
        <v>1060</v>
      </c>
      <c r="S6" s="275" t="s">
        <v>1062</v>
      </c>
      <c r="T6" s="279" t="s">
        <v>1063</v>
      </c>
    </row>
    <row r="7" spans="1:33" ht="66">
      <c r="A7" s="323" t="s">
        <v>1727</v>
      </c>
      <c r="B7" s="324" t="s">
        <v>1685</v>
      </c>
      <c r="C7" s="614" t="s">
        <v>2448</v>
      </c>
      <c r="D7" s="326" t="s">
        <v>2004</v>
      </c>
      <c r="E7" s="613" t="s">
        <v>391</v>
      </c>
      <c r="F7" s="649" t="s">
        <v>2244</v>
      </c>
      <c r="G7" s="649" t="s">
        <v>2245</v>
      </c>
      <c r="H7" s="649" t="s">
        <v>2275</v>
      </c>
      <c r="I7" s="322" t="s">
        <v>1333</v>
      </c>
      <c r="M7" s="280" t="s">
        <v>800</v>
      </c>
      <c r="N7" s="280" t="s">
        <v>875</v>
      </c>
      <c r="O7" s="281">
        <v>0.8</v>
      </c>
      <c r="P7" s="281" t="s">
        <v>993</v>
      </c>
      <c r="Q7" s="282" t="s">
        <v>1066</v>
      </c>
      <c r="R7" s="280" t="s">
        <v>1065</v>
      </c>
      <c r="S7" s="280" t="s">
        <v>1067</v>
      </c>
      <c r="T7" s="284" t="s">
        <v>1068</v>
      </c>
    </row>
    <row r="8" spans="1:33" ht="60">
      <c r="A8" s="323" t="s">
        <v>2424</v>
      </c>
      <c r="B8" s="324" t="s">
        <v>1682</v>
      </c>
      <c r="C8" s="614" t="s">
        <v>2447</v>
      </c>
      <c r="D8" s="708"/>
      <c r="E8" s="709"/>
      <c r="F8" s="649"/>
      <c r="G8" s="649"/>
      <c r="H8" s="649"/>
      <c r="I8" s="322" t="s">
        <v>1333</v>
      </c>
      <c r="M8" s="275" t="s">
        <v>800</v>
      </c>
      <c r="N8" s="275" t="s">
        <v>484</v>
      </c>
      <c r="O8" s="277">
        <v>12</v>
      </c>
      <c r="P8" s="277" t="s">
        <v>993</v>
      </c>
      <c r="Q8" s="278" t="s">
        <v>1057</v>
      </c>
      <c r="R8" s="275" t="s">
        <v>1069</v>
      </c>
      <c r="S8" s="275" t="s">
        <v>1070</v>
      </c>
      <c r="T8" s="285" t="s">
        <v>1071</v>
      </c>
    </row>
    <row r="9" spans="1:33" ht="66">
      <c r="A9" s="586" t="s">
        <v>1277</v>
      </c>
      <c r="B9" s="587" t="s">
        <v>1688</v>
      </c>
      <c r="C9" s="614" t="s">
        <v>2450</v>
      </c>
      <c r="D9" s="326" t="s">
        <v>2307</v>
      </c>
      <c r="E9" s="326" t="s">
        <v>390</v>
      </c>
      <c r="F9" s="650" t="s">
        <v>2246</v>
      </c>
      <c r="G9" s="650" t="s">
        <v>2247</v>
      </c>
      <c r="H9" s="650" t="s">
        <v>2276</v>
      </c>
      <c r="I9" s="588" t="s">
        <v>1334</v>
      </c>
      <c r="M9" s="280" t="s">
        <v>800</v>
      </c>
      <c r="N9" s="280" t="s">
        <v>803</v>
      </c>
      <c r="O9" s="286">
        <v>0.94</v>
      </c>
      <c r="P9" s="281" t="s">
        <v>993</v>
      </c>
      <c r="Q9" s="282" t="s">
        <v>1073</v>
      </c>
      <c r="R9" s="280" t="s">
        <v>1072</v>
      </c>
      <c r="S9" s="280" t="s">
        <v>1074</v>
      </c>
      <c r="T9" s="284" t="s">
        <v>1075</v>
      </c>
    </row>
    <row r="10" spans="1:33" ht="60">
      <c r="A10" s="586" t="s">
        <v>1349</v>
      </c>
      <c r="B10" s="587" t="s">
        <v>1691</v>
      </c>
      <c r="C10" s="614" t="s">
        <v>2451</v>
      </c>
      <c r="D10" s="326" t="s">
        <v>2009</v>
      </c>
      <c r="E10" s="326" t="s">
        <v>390</v>
      </c>
      <c r="F10" s="650" t="s">
        <v>2248</v>
      </c>
      <c r="G10" s="650" t="s">
        <v>2249</v>
      </c>
      <c r="H10" s="650" t="s">
        <v>2277</v>
      </c>
      <c r="I10" s="588" t="s">
        <v>1334</v>
      </c>
      <c r="M10" s="275" t="s">
        <v>532</v>
      </c>
      <c r="N10" s="275" t="s">
        <v>475</v>
      </c>
      <c r="O10" s="277">
        <v>4</v>
      </c>
      <c r="P10" s="287">
        <v>1</v>
      </c>
      <c r="Q10" s="278" t="s">
        <v>1061</v>
      </c>
      <c r="R10" s="275" t="s">
        <v>1077</v>
      </c>
      <c r="S10" s="275" t="s">
        <v>1078</v>
      </c>
      <c r="T10" s="279" t="s">
        <v>1079</v>
      </c>
    </row>
    <row r="11" spans="1:33" ht="60">
      <c r="A11" s="586" t="s">
        <v>1304</v>
      </c>
      <c r="B11" s="587" t="s">
        <v>1688</v>
      </c>
      <c r="C11" s="614" t="s">
        <v>2450</v>
      </c>
      <c r="D11" s="614" t="s">
        <v>2007</v>
      </c>
      <c r="E11" s="614" t="s">
        <v>1237</v>
      </c>
      <c r="F11" s="650" t="s">
        <v>2250</v>
      </c>
      <c r="G11" s="650" t="s">
        <v>2251</v>
      </c>
      <c r="H11" s="650" t="s">
        <v>2287</v>
      </c>
      <c r="I11" s="588" t="s">
        <v>1334</v>
      </c>
      <c r="M11" s="280" t="s">
        <v>532</v>
      </c>
      <c r="N11" s="280" t="s">
        <v>890</v>
      </c>
      <c r="O11" s="281" t="s">
        <v>892</v>
      </c>
      <c r="P11" s="286">
        <v>1</v>
      </c>
      <c r="Q11" s="282" t="s">
        <v>1081</v>
      </c>
      <c r="R11" s="280" t="s">
        <v>1080</v>
      </c>
      <c r="S11" s="280" t="s">
        <v>1082</v>
      </c>
      <c r="T11" s="283" t="s">
        <v>1083</v>
      </c>
    </row>
    <row r="12" spans="1:33" ht="45.6">
      <c r="A12" s="615" t="s">
        <v>1316</v>
      </c>
      <c r="B12" s="616" t="s">
        <v>1695</v>
      </c>
      <c r="C12" s="326" t="s">
        <v>2340</v>
      </c>
      <c r="D12" s="708"/>
      <c r="E12" s="326" t="s">
        <v>390</v>
      </c>
      <c r="F12" s="651" t="s">
        <v>2252</v>
      </c>
      <c r="G12" s="651" t="s">
        <v>2253</v>
      </c>
      <c r="H12" s="651" t="s">
        <v>2278</v>
      </c>
      <c r="I12" s="617" t="s">
        <v>1339</v>
      </c>
      <c r="M12" s="275" t="s">
        <v>532</v>
      </c>
      <c r="N12" s="275" t="s">
        <v>895</v>
      </c>
      <c r="O12" s="277" t="s">
        <v>898</v>
      </c>
      <c r="P12" s="287">
        <v>1</v>
      </c>
      <c r="Q12" s="278" t="s">
        <v>1085</v>
      </c>
      <c r="R12" s="275" t="s">
        <v>1084</v>
      </c>
      <c r="S12" s="275" t="s">
        <v>1086</v>
      </c>
      <c r="T12" s="285" t="s">
        <v>1087</v>
      </c>
    </row>
    <row r="13" spans="1:33" ht="52.8">
      <c r="A13" s="615" t="s">
        <v>1361</v>
      </c>
      <c r="B13" s="616" t="s">
        <v>1676</v>
      </c>
      <c r="C13" s="614" t="s">
        <v>2452</v>
      </c>
      <c r="D13" s="708" t="s">
        <v>2347</v>
      </c>
      <c r="E13" s="613" t="s">
        <v>391</v>
      </c>
      <c r="F13" s="651" t="s">
        <v>2254</v>
      </c>
      <c r="G13" s="651" t="s">
        <v>2255</v>
      </c>
      <c r="H13" s="651" t="s">
        <v>2279</v>
      </c>
      <c r="I13" s="617" t="s">
        <v>1339</v>
      </c>
      <c r="M13" s="280" t="s">
        <v>809</v>
      </c>
      <c r="N13" s="280" t="s">
        <v>903</v>
      </c>
      <c r="O13" s="286">
        <v>0.82</v>
      </c>
      <c r="P13" s="281" t="s">
        <v>810</v>
      </c>
      <c r="Q13" s="282" t="s">
        <v>1090</v>
      </c>
      <c r="R13" s="280" t="s">
        <v>1089</v>
      </c>
      <c r="S13" s="280" t="s">
        <v>1091</v>
      </c>
      <c r="T13" s="284" t="s">
        <v>1092</v>
      </c>
    </row>
    <row r="14" spans="1:33" ht="52.8">
      <c r="A14" s="615" t="s">
        <v>924</v>
      </c>
      <c r="B14" s="616" t="s">
        <v>1695</v>
      </c>
      <c r="C14" s="326" t="s">
        <v>2340</v>
      </c>
      <c r="D14" s="708" t="s">
        <v>2348</v>
      </c>
      <c r="E14" s="326" t="s">
        <v>390</v>
      </c>
      <c r="F14" s="651" t="s">
        <v>2256</v>
      </c>
      <c r="G14" s="651" t="s">
        <v>2257</v>
      </c>
      <c r="H14" s="651" t="s">
        <v>2280</v>
      </c>
      <c r="I14" s="617" t="s">
        <v>1339</v>
      </c>
      <c r="M14" s="275" t="s">
        <v>907</v>
      </c>
      <c r="N14" s="275" t="s">
        <v>910</v>
      </c>
      <c r="O14" s="287">
        <v>0.15</v>
      </c>
      <c r="P14" s="277" t="s">
        <v>909</v>
      </c>
      <c r="Q14" s="278" t="s">
        <v>1094</v>
      </c>
      <c r="R14" s="275" t="s">
        <v>1093</v>
      </c>
      <c r="S14" s="275" t="s">
        <v>1095</v>
      </c>
      <c r="T14" s="285" t="s">
        <v>1096</v>
      </c>
    </row>
    <row r="15" spans="1:33" ht="60">
      <c r="A15" s="618" t="s">
        <v>1224</v>
      </c>
      <c r="B15" s="619" t="s">
        <v>1679</v>
      </c>
      <c r="C15" s="614" t="s">
        <v>2453</v>
      </c>
      <c r="D15" s="708"/>
      <c r="E15" s="613" t="s">
        <v>391</v>
      </c>
      <c r="F15" s="652" t="s">
        <v>2258</v>
      </c>
      <c r="G15" s="652" t="s">
        <v>2259</v>
      </c>
      <c r="H15" s="652" t="s">
        <v>2281</v>
      </c>
      <c r="I15" s="620" t="s">
        <v>768</v>
      </c>
      <c r="M15" s="280" t="s">
        <v>1097</v>
      </c>
      <c r="N15" s="280" t="s">
        <v>499</v>
      </c>
      <c r="O15" s="281">
        <v>4</v>
      </c>
      <c r="P15" s="281" t="s">
        <v>1098</v>
      </c>
      <c r="Q15" s="282" t="s">
        <v>1073</v>
      </c>
      <c r="R15" s="280" t="s">
        <v>1099</v>
      </c>
      <c r="S15" s="280" t="s">
        <v>1100</v>
      </c>
      <c r="T15" s="283" t="s">
        <v>1101</v>
      </c>
    </row>
    <row r="16" spans="1:33" ht="60">
      <c r="A16" s="618" t="s">
        <v>800</v>
      </c>
      <c r="B16" s="619" t="s">
        <v>1679</v>
      </c>
      <c r="C16" s="614" t="s">
        <v>2453</v>
      </c>
      <c r="D16" s="708" t="s">
        <v>2349</v>
      </c>
      <c r="E16" s="326" t="s">
        <v>390</v>
      </c>
      <c r="F16" s="652" t="s">
        <v>2260</v>
      </c>
      <c r="G16" s="652" t="s">
        <v>2261</v>
      </c>
      <c r="H16" s="652" t="s">
        <v>2282</v>
      </c>
      <c r="I16" s="620" t="s">
        <v>768</v>
      </c>
      <c r="M16" s="275" t="s">
        <v>813</v>
      </c>
      <c r="N16" s="275" t="s">
        <v>492</v>
      </c>
      <c r="O16" s="277">
        <v>3</v>
      </c>
      <c r="P16" s="277" t="s">
        <v>810</v>
      </c>
      <c r="Q16" s="278" t="s">
        <v>1045</v>
      </c>
      <c r="R16" s="275" t="s">
        <v>1103</v>
      </c>
      <c r="S16" s="275" t="s">
        <v>1104</v>
      </c>
      <c r="T16" s="279" t="s">
        <v>1105</v>
      </c>
    </row>
    <row r="17" spans="1:20" ht="60">
      <c r="A17" s="618" t="s">
        <v>1788</v>
      </c>
      <c r="B17" s="619" t="s">
        <v>1676</v>
      </c>
      <c r="C17" s="614" t="s">
        <v>2452</v>
      </c>
      <c r="D17" s="708"/>
      <c r="E17" s="648" t="s">
        <v>392</v>
      </c>
      <c r="F17" s="652" t="s">
        <v>2262</v>
      </c>
      <c r="G17" s="652" t="s">
        <v>2263</v>
      </c>
      <c r="H17" s="652" t="s">
        <v>2283</v>
      </c>
      <c r="I17" s="620" t="s">
        <v>768</v>
      </c>
      <c r="M17" s="280" t="s">
        <v>494</v>
      </c>
      <c r="N17" s="280" t="s">
        <v>919</v>
      </c>
      <c r="O17" s="286">
        <v>0.85</v>
      </c>
      <c r="P17" s="281" t="s">
        <v>909</v>
      </c>
      <c r="Q17" s="282" t="s">
        <v>1107</v>
      </c>
      <c r="R17" s="280" t="s">
        <v>1106</v>
      </c>
      <c r="S17" s="280" t="s">
        <v>1108</v>
      </c>
      <c r="T17" s="284" t="s">
        <v>1109</v>
      </c>
    </row>
    <row r="18" spans="1:20" ht="60">
      <c r="A18" s="621" t="s">
        <v>1300</v>
      </c>
      <c r="B18" s="622" t="s">
        <v>1691</v>
      </c>
      <c r="C18" s="614" t="s">
        <v>2451</v>
      </c>
      <c r="D18" s="708"/>
      <c r="E18" s="613" t="s">
        <v>391</v>
      </c>
      <c r="F18" s="653" t="s">
        <v>2264</v>
      </c>
      <c r="G18" s="653" t="s">
        <v>2265</v>
      </c>
      <c r="H18" s="653" t="s">
        <v>2284</v>
      </c>
      <c r="I18" s="623" t="s">
        <v>1340</v>
      </c>
      <c r="M18" s="275" t="s">
        <v>924</v>
      </c>
      <c r="N18" s="275" t="s">
        <v>926</v>
      </c>
      <c r="O18" s="287">
        <v>0.87</v>
      </c>
      <c r="P18" s="277" t="s">
        <v>495</v>
      </c>
      <c r="Q18" s="278" t="s">
        <v>1112</v>
      </c>
      <c r="R18" s="275" t="s">
        <v>1111</v>
      </c>
      <c r="S18" s="275" t="s">
        <v>1113</v>
      </c>
      <c r="T18" s="285" t="s">
        <v>1114</v>
      </c>
    </row>
    <row r="19" spans="1:20" ht="66">
      <c r="A19" s="621" t="s">
        <v>965</v>
      </c>
      <c r="B19" s="622" t="s">
        <v>1703</v>
      </c>
      <c r="C19" s="614" t="s">
        <v>2454</v>
      </c>
      <c r="D19" s="708"/>
      <c r="E19" s="648" t="s">
        <v>392</v>
      </c>
      <c r="F19" s="653" t="s">
        <v>2266</v>
      </c>
      <c r="G19" s="653" t="s">
        <v>2267</v>
      </c>
      <c r="H19" s="653" t="s">
        <v>2285</v>
      </c>
      <c r="I19" s="623" t="s">
        <v>1340</v>
      </c>
      <c r="M19" s="280" t="s">
        <v>924</v>
      </c>
      <c r="N19" s="280" t="s">
        <v>930</v>
      </c>
      <c r="O19" s="281" t="s">
        <v>932</v>
      </c>
      <c r="P19" s="281" t="s">
        <v>495</v>
      </c>
      <c r="Q19" s="282" t="s">
        <v>1081</v>
      </c>
      <c r="R19" s="280" t="s">
        <v>1115</v>
      </c>
      <c r="S19" s="280" t="s">
        <v>1116</v>
      </c>
      <c r="T19" s="283" t="s">
        <v>1117</v>
      </c>
    </row>
    <row r="20" spans="1:20" ht="60">
      <c r="A20" s="621" t="s">
        <v>1296</v>
      </c>
      <c r="B20" s="622" t="s">
        <v>1703</v>
      </c>
      <c r="C20" s="614" t="s">
        <v>2454</v>
      </c>
      <c r="D20" s="708"/>
      <c r="E20" s="648" t="s">
        <v>392</v>
      </c>
      <c r="F20" s="653" t="s">
        <v>2268</v>
      </c>
      <c r="G20" s="653" t="s">
        <v>2269</v>
      </c>
      <c r="H20" s="653" t="s">
        <v>2286</v>
      </c>
      <c r="I20" s="623" t="s">
        <v>1340</v>
      </c>
      <c r="M20" s="275" t="s">
        <v>936</v>
      </c>
      <c r="N20" s="275" t="s">
        <v>939</v>
      </c>
      <c r="O20" s="277" t="s">
        <v>651</v>
      </c>
      <c r="P20" s="277" t="s">
        <v>938</v>
      </c>
      <c r="Q20" s="278" t="s">
        <v>1120</v>
      </c>
      <c r="R20" s="275" t="s">
        <v>1119</v>
      </c>
      <c r="S20" s="275" t="s">
        <v>1121</v>
      </c>
      <c r="T20" s="279" t="s">
        <v>1122</v>
      </c>
    </row>
    <row r="21" spans="1:20" ht="52.8">
      <c r="M21" s="280" t="s">
        <v>936</v>
      </c>
      <c r="N21" s="280" t="s">
        <v>942</v>
      </c>
      <c r="O21" s="281" t="s">
        <v>651</v>
      </c>
      <c r="P21" s="281" t="s">
        <v>938</v>
      </c>
      <c r="Q21" s="282" t="s">
        <v>1124</v>
      </c>
      <c r="R21" s="280" t="s">
        <v>1123</v>
      </c>
      <c r="S21" s="280" t="s">
        <v>1125</v>
      </c>
      <c r="T21" s="283" t="s">
        <v>1126</v>
      </c>
    </row>
    <row r="22" spans="1:20" ht="66">
      <c r="M22" s="275" t="s">
        <v>965</v>
      </c>
      <c r="N22" s="275" t="s">
        <v>967</v>
      </c>
      <c r="O22" s="277" t="s">
        <v>651</v>
      </c>
      <c r="P22" s="277" t="s">
        <v>495</v>
      </c>
      <c r="Q22" s="278" t="s">
        <v>1129</v>
      </c>
      <c r="R22" s="275" t="s">
        <v>1128</v>
      </c>
      <c r="S22" s="275" t="s">
        <v>1130</v>
      </c>
      <c r="T22" s="279" t="s">
        <v>1131</v>
      </c>
    </row>
    <row r="23" spans="1:20" ht="75">
      <c r="M23" s="280" t="s">
        <v>965</v>
      </c>
      <c r="N23" s="280" t="s">
        <v>972</v>
      </c>
      <c r="O23" s="281" t="s">
        <v>651</v>
      </c>
      <c r="P23" s="281" t="s">
        <v>495</v>
      </c>
      <c r="Q23" s="282" t="s">
        <v>1133</v>
      </c>
      <c r="R23" s="280" t="s">
        <v>1132</v>
      </c>
      <c r="S23" s="280" t="s">
        <v>1134</v>
      </c>
      <c r="T23" s="283" t="s">
        <v>1135</v>
      </c>
    </row>
    <row r="24" spans="1:20" ht="52.8">
      <c r="M24" s="275" t="s">
        <v>1137</v>
      </c>
      <c r="N24" s="275" t="s">
        <v>978</v>
      </c>
      <c r="O24" s="277" t="s">
        <v>651</v>
      </c>
      <c r="P24" s="277" t="s">
        <v>852</v>
      </c>
      <c r="Q24" s="278" t="s">
        <v>1139</v>
      </c>
      <c r="R24" s="275" t="s">
        <v>1138</v>
      </c>
      <c r="S24" s="275" t="s">
        <v>1140</v>
      </c>
      <c r="T24" s="279" t="s">
        <v>1141</v>
      </c>
    </row>
    <row r="25" spans="1:20" ht="52.8">
      <c r="M25" s="288" t="s">
        <v>1137</v>
      </c>
      <c r="N25" s="288" t="s">
        <v>982</v>
      </c>
      <c r="O25" s="289" t="s">
        <v>651</v>
      </c>
      <c r="P25" s="289" t="s">
        <v>852</v>
      </c>
      <c r="Q25" s="290" t="s">
        <v>1143</v>
      </c>
      <c r="R25" s="288" t="s">
        <v>1142</v>
      </c>
      <c r="S25" s="288" t="s">
        <v>1144</v>
      </c>
      <c r="T25" s="291" t="s">
        <v>1145</v>
      </c>
    </row>
    <row r="26" spans="1:20" ht="45.6" customHeight="1"/>
    <row r="27" spans="1:20" ht="45.6" customHeight="1"/>
    <row r="28" spans="1:20" ht="45.6" customHeight="1">
      <c r="F28" s="317"/>
      <c r="G28" s="317"/>
    </row>
    <row r="29" spans="1:20" ht="45.6" customHeight="1">
      <c r="M29" s="272"/>
      <c r="N29" s="272"/>
      <c r="T29" s="260"/>
    </row>
    <row r="30" spans="1:20" ht="45.6" customHeight="1">
      <c r="M30" s="52"/>
      <c r="N30" s="52"/>
      <c r="T30" s="260"/>
    </row>
    <row r="31" spans="1:20" ht="45.6" customHeight="1">
      <c r="M31" s="273"/>
      <c r="N31" s="273"/>
    </row>
    <row r="32" spans="1:20" ht="45.6" customHeight="1">
      <c r="M32" s="273"/>
      <c r="N32" s="273"/>
      <c r="T32" s="260"/>
    </row>
    <row r="33" spans="13:25" ht="45.6" customHeight="1">
      <c r="M33" s="273"/>
      <c r="N33" s="273"/>
    </row>
    <row r="34" spans="13:25" ht="45.6" customHeight="1" thickBot="1">
      <c r="M34" s="273"/>
      <c r="N34" s="273"/>
    </row>
    <row r="35" spans="13:25" ht="45.6" customHeight="1" thickBot="1">
      <c r="N35" s="271"/>
      <c r="U35" s="2"/>
      <c r="V35" s="261"/>
      <c r="W35" s="262"/>
      <c r="X35" s="262"/>
      <c r="Y35" s="262"/>
    </row>
    <row r="36" spans="13:25" ht="45.6" customHeight="1" thickBot="1">
      <c r="U36" s="2"/>
      <c r="V36" s="263"/>
      <c r="W36" s="264"/>
      <c r="X36" s="264"/>
      <c r="Y36" s="264"/>
    </row>
    <row r="37" spans="13:25" ht="45.6" customHeight="1" thickBot="1">
      <c r="U37" s="2"/>
      <c r="V37" s="263"/>
      <c r="W37" s="264"/>
      <c r="X37" s="264"/>
      <c r="Y37" s="264"/>
    </row>
    <row r="38" spans="13:25" ht="45.6" customHeight="1" thickBot="1">
      <c r="U38" s="2"/>
      <c r="V38" s="263"/>
      <c r="W38" s="264"/>
      <c r="X38" s="264"/>
      <c r="Y38" s="264"/>
    </row>
    <row r="39" spans="13:25" ht="45.6" customHeight="1"/>
    <row r="40" spans="13:25" ht="45.6" customHeight="1"/>
    <row r="41" spans="13:25" ht="45.6" customHeight="1"/>
    <row r="42" spans="13:25" ht="45.6" customHeight="1"/>
    <row r="43" spans="13:25" ht="45.6" customHeight="1"/>
    <row r="49" spans="8:8" ht="30">
      <c r="H49" s="317"/>
    </row>
    <row r="103" spans="1:6" ht="22.8">
      <c r="A103" s="954"/>
      <c r="B103" s="954"/>
      <c r="C103" s="954"/>
      <c r="D103" s="310"/>
      <c r="E103" s="318"/>
      <c r="F103" s="318"/>
    </row>
    <row r="105" spans="1:6">
      <c r="A105" s="953"/>
      <c r="B105" s="953"/>
      <c r="C105" s="953"/>
      <c r="E105" s="319"/>
      <c r="F105" s="319"/>
    </row>
    <row r="107" spans="1:6">
      <c r="A107" s="955"/>
      <c r="B107" s="955"/>
      <c r="C107" s="955"/>
      <c r="E107" s="320"/>
      <c r="F107" s="320"/>
    </row>
    <row r="109" spans="1:6">
      <c r="A109" s="952"/>
      <c r="B109" s="952"/>
      <c r="C109" s="952"/>
      <c r="D109" s="310"/>
      <c r="E109" s="296"/>
      <c r="F109" s="296"/>
    </row>
    <row r="110" spans="1:6">
      <c r="A110" s="952"/>
      <c r="B110" s="952"/>
      <c r="C110" s="952"/>
      <c r="D110" s="310"/>
      <c r="E110" s="296"/>
      <c r="F110" s="296"/>
    </row>
    <row r="111" spans="1:6">
      <c r="A111" s="952"/>
      <c r="B111" s="952"/>
      <c r="C111" s="952"/>
      <c r="D111" s="310"/>
      <c r="E111" s="296"/>
      <c r="F111" s="296"/>
    </row>
    <row r="112" spans="1:6">
      <c r="A112" s="952"/>
      <c r="B112" s="952"/>
      <c r="C112" s="952"/>
      <c r="D112" s="310"/>
      <c r="E112" s="296"/>
      <c r="F112" s="296"/>
    </row>
    <row r="113" spans="1:6">
      <c r="A113" s="952"/>
      <c r="B113" s="952"/>
      <c r="C113" s="952"/>
      <c r="D113" s="310"/>
      <c r="E113" s="296"/>
      <c r="F113" s="296"/>
    </row>
    <row r="115" spans="1:6">
      <c r="A115" s="953"/>
      <c r="B115" s="953"/>
      <c r="C115" s="953"/>
      <c r="E115" s="319"/>
      <c r="F115" s="319"/>
    </row>
  </sheetData>
  <mergeCells count="10">
    <mergeCell ref="AB2:AG2"/>
    <mergeCell ref="A111:C111"/>
    <mergeCell ref="A112:C112"/>
    <mergeCell ref="A113:C113"/>
    <mergeCell ref="A115:C115"/>
    <mergeCell ref="A103:C103"/>
    <mergeCell ref="A105:C105"/>
    <mergeCell ref="A107:C107"/>
    <mergeCell ref="A109:C109"/>
    <mergeCell ref="A110:C110"/>
  </mergeCells>
  <dataValidations count="1">
    <dataValidation type="list" allowBlank="1" showInputMessage="1" showErrorMessage="1" sqref="E2:E20" xr:uid="{C67B7D65-9783-4A4E-A176-16985A045F2D}">
      <formula1>"Critical Risk, High Risk, Moderate Risk, Low Risk"</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59C65-042F-4FD5-9287-8523989DA6AA}">
  <sheetPr codeName="Sheet6">
    <tabColor theme="1" tint="0.14999847407452621"/>
  </sheetPr>
  <dimension ref="A1:AS95"/>
  <sheetViews>
    <sheetView topLeftCell="AL1" zoomScale="58" zoomScaleNormal="80" workbookViewId="0">
      <selection activeCell="AV7" sqref="AV7"/>
    </sheetView>
  </sheetViews>
  <sheetFormatPr defaultRowHeight="13.8"/>
  <cols>
    <col min="1" max="1" width="28.77734375" style="315" customWidth="1"/>
    <col min="2" max="2" width="13.88671875" style="315" bestFit="1" customWidth="1"/>
    <col min="3" max="3" width="30.33203125" style="315" bestFit="1" customWidth="1"/>
    <col min="4" max="4" width="30.33203125" style="315" customWidth="1"/>
    <col min="5" max="5" width="28" style="315" bestFit="1" customWidth="1"/>
    <col min="6" max="6" width="65.77734375" style="294" bestFit="1" customWidth="1"/>
    <col min="7" max="7" width="44.109375" style="526" customWidth="1"/>
    <col min="8" max="8" width="35.21875" style="294" customWidth="1"/>
    <col min="9" max="9" width="29.77734375" style="294" customWidth="1"/>
    <col min="10" max="10" width="15.33203125" style="294" customWidth="1"/>
    <col min="11" max="11" width="27" style="294" hidden="1" customWidth="1"/>
    <col min="12" max="12" width="26.77734375" style="294" customWidth="1"/>
    <col min="13" max="13" width="10.33203125" style="294" customWidth="1"/>
    <col min="14" max="14" width="29.33203125" customWidth="1"/>
    <col min="15" max="15" width="22.44140625" bestFit="1" customWidth="1"/>
    <col min="16" max="16" width="29.33203125" customWidth="1"/>
    <col min="17" max="17" width="32.77734375" bestFit="1" customWidth="1"/>
    <col min="18" max="18" width="27.77734375" style="294" bestFit="1" customWidth="1"/>
    <col min="19" max="19" width="17.21875" style="294" bestFit="1" customWidth="1"/>
    <col min="20" max="20" width="30.33203125" style="294" bestFit="1" customWidth="1"/>
    <col min="21" max="21" width="31.5546875" style="313" bestFit="1" customWidth="1"/>
    <col min="22" max="22" width="76.109375" style="294" bestFit="1" customWidth="1"/>
    <col min="23" max="23" width="23.5546875" style="294" customWidth="1"/>
    <col min="24" max="24" width="11.5546875" style="294" bestFit="1" customWidth="1"/>
    <col min="25" max="25" width="13.5546875" style="294" bestFit="1" customWidth="1"/>
    <col min="26" max="26" width="19.5546875" style="294" bestFit="1" customWidth="1"/>
    <col min="27" max="27" width="16.109375" style="294" bestFit="1" customWidth="1"/>
    <col min="28" max="28" width="21.21875" style="294" bestFit="1" customWidth="1"/>
    <col min="29" max="29" width="73.21875" style="294" bestFit="1" customWidth="1"/>
    <col min="30" max="30" width="26.77734375" bestFit="1" customWidth="1"/>
    <col min="31" max="31" width="34.5546875" bestFit="1" customWidth="1"/>
    <col min="32" max="32" width="32.77734375" bestFit="1" customWidth="1"/>
    <col min="33" max="33" width="23.109375" bestFit="1" customWidth="1"/>
    <col min="34" max="34" width="16.33203125" bestFit="1" customWidth="1"/>
    <col min="35" max="35" width="12.33203125" customWidth="1"/>
    <col min="36" max="36" width="29.5546875" bestFit="1" customWidth="1"/>
    <col min="37" max="45" width="31.44140625" customWidth="1"/>
    <col min="46" max="46" width="26.109375" customWidth="1"/>
    <col min="47" max="47" width="22" customWidth="1"/>
    <col min="48" max="48" width="31.33203125" customWidth="1"/>
    <col min="49" max="49" width="40.77734375" customWidth="1"/>
    <col min="50" max="50" width="16.77734375" customWidth="1"/>
    <col min="16354" max="16354" width="9.109375" customWidth="1"/>
  </cols>
  <sheetData>
    <row r="1" spans="1:45" ht="17.399999999999999">
      <c r="B1" s="701"/>
      <c r="C1" s="702"/>
      <c r="D1" s="702"/>
      <c r="E1" s="702"/>
      <c r="F1" s="702"/>
      <c r="G1" s="702"/>
    </row>
    <row r="2" spans="1:45" ht="17.399999999999999">
      <c r="A2"/>
      <c r="B2" s="701"/>
      <c r="C2" s="702"/>
      <c r="D2" s="702"/>
      <c r="E2" s="702"/>
      <c r="F2" s="702"/>
      <c r="G2" s="702"/>
      <c r="H2"/>
      <c r="I2"/>
      <c r="J2"/>
      <c r="K2"/>
      <c r="L2"/>
      <c r="M2"/>
    </row>
    <row r="3" spans="1:45" ht="23.25" customHeight="1">
      <c r="A3" s="956" t="s">
        <v>1204</v>
      </c>
      <c r="B3" s="956"/>
      <c r="C3" s="956"/>
      <c r="D3" s="956"/>
      <c r="E3" s="956"/>
      <c r="F3" s="956"/>
      <c r="G3" s="956"/>
      <c r="H3" s="956"/>
      <c r="I3" s="956"/>
      <c r="J3" s="956"/>
      <c r="K3" s="956"/>
      <c r="L3" s="956"/>
      <c r="M3" s="956"/>
      <c r="N3" s="272"/>
      <c r="O3" s="272"/>
      <c r="P3" s="272"/>
      <c r="Q3" s="272"/>
      <c r="R3"/>
      <c r="S3"/>
      <c r="T3"/>
      <c r="U3"/>
      <c r="V3"/>
      <c r="W3"/>
      <c r="X3"/>
      <c r="Y3"/>
      <c r="Z3"/>
      <c r="AA3"/>
      <c r="AB3"/>
      <c r="AC3"/>
      <c r="AK3" s="598" t="s">
        <v>1878</v>
      </c>
      <c r="AL3" s="510"/>
      <c r="AM3" s="510"/>
      <c r="AN3" s="510"/>
      <c r="AO3" s="510"/>
      <c r="AP3" s="510"/>
      <c r="AQ3" s="510"/>
      <c r="AR3" s="510"/>
      <c r="AS3" s="510"/>
    </row>
    <row r="4" spans="1:45">
      <c r="AK4" s="599"/>
      <c r="AL4" s="510"/>
      <c r="AM4" s="510"/>
      <c r="AN4" s="510"/>
      <c r="AO4" s="510"/>
      <c r="AP4" s="510"/>
      <c r="AQ4" s="510"/>
      <c r="AR4" s="510"/>
      <c r="AS4" s="510"/>
    </row>
    <row r="5" spans="1:45" s="294" customFormat="1" ht="31.8" thickBot="1">
      <c r="A5" s="314" t="s">
        <v>10</v>
      </c>
      <c r="B5" s="314" t="s">
        <v>1205</v>
      </c>
      <c r="C5" s="314" t="s">
        <v>1201</v>
      </c>
      <c r="D5" s="314" t="s">
        <v>2332</v>
      </c>
      <c r="E5" s="314" t="s">
        <v>1236</v>
      </c>
      <c r="F5" s="306" t="s">
        <v>845</v>
      </c>
      <c r="G5" s="530" t="s">
        <v>1194</v>
      </c>
      <c r="H5" s="306" t="s">
        <v>389</v>
      </c>
      <c r="I5" s="306" t="s">
        <v>466</v>
      </c>
      <c r="J5" s="306" t="s">
        <v>393</v>
      </c>
      <c r="K5" s="308" t="s">
        <v>1268</v>
      </c>
      <c r="L5" s="311" t="s">
        <v>1274</v>
      </c>
      <c r="M5" s="309" t="s">
        <v>1269</v>
      </c>
      <c r="N5" s="329" t="s">
        <v>1837</v>
      </c>
      <c r="O5" s="597" t="s">
        <v>987</v>
      </c>
      <c r="P5" s="329" t="s">
        <v>846</v>
      </c>
      <c r="R5" s="306" t="s">
        <v>1202</v>
      </c>
      <c r="S5" s="306" t="s">
        <v>2232</v>
      </c>
      <c r="T5" s="306" t="s">
        <v>508</v>
      </c>
      <c r="U5" s="601" t="s">
        <v>1236</v>
      </c>
      <c r="V5" s="306" t="s">
        <v>843</v>
      </c>
      <c r="W5" s="306" t="s">
        <v>1231</v>
      </c>
      <c r="X5" s="306" t="s">
        <v>1194</v>
      </c>
      <c r="Y5" s="306" t="s">
        <v>389</v>
      </c>
      <c r="Z5" s="306" t="s">
        <v>466</v>
      </c>
      <c r="AA5" s="306" t="s">
        <v>393</v>
      </c>
      <c r="AB5" s="601" t="s">
        <v>844</v>
      </c>
      <c r="AC5" s="306" t="s">
        <v>1332</v>
      </c>
      <c r="AD5" s="306" t="s">
        <v>1262</v>
      </c>
      <c r="AE5" s="306" t="s">
        <v>1263</v>
      </c>
      <c r="AF5" s="601" t="s">
        <v>1264</v>
      </c>
      <c r="AG5" s="307" t="s">
        <v>1265</v>
      </c>
      <c r="AK5" s="600" t="s">
        <v>1205</v>
      </c>
      <c r="AL5" s="600" t="s">
        <v>1879</v>
      </c>
      <c r="AM5" s="600" t="s">
        <v>845</v>
      </c>
      <c r="AN5" s="600" t="s">
        <v>1274</v>
      </c>
      <c r="AO5" s="600" t="s">
        <v>1880</v>
      </c>
      <c r="AP5" s="600" t="s">
        <v>1881</v>
      </c>
      <c r="AQ5" s="600" t="s">
        <v>1882</v>
      </c>
      <c r="AR5" s="600" t="s">
        <v>1883</v>
      </c>
      <c r="AS5" s="600" t="s">
        <v>456</v>
      </c>
    </row>
    <row r="6" spans="1:45" ht="144">
      <c r="A6" s="126" t="s">
        <v>1662</v>
      </c>
      <c r="B6" s="126" t="s">
        <v>1661</v>
      </c>
      <c r="C6" s="126" t="s">
        <v>1673</v>
      </c>
      <c r="D6" s="126" t="s">
        <v>2335</v>
      </c>
      <c r="E6" s="126" t="s">
        <v>1674</v>
      </c>
      <c r="F6" s="107" t="s">
        <v>2414</v>
      </c>
      <c r="G6" s="126" t="s">
        <v>1195</v>
      </c>
      <c r="H6" s="126" t="s">
        <v>1648</v>
      </c>
      <c r="I6" s="126" t="s">
        <v>1647</v>
      </c>
      <c r="J6" s="126" t="s">
        <v>1646</v>
      </c>
      <c r="K6" s="510"/>
      <c r="L6" s="107" t="s">
        <v>1868</v>
      </c>
      <c r="M6" s="330">
        <v>0.63</v>
      </c>
      <c r="N6" s="126" t="s">
        <v>1848</v>
      </c>
      <c r="O6" s="126" t="s">
        <v>990</v>
      </c>
      <c r="P6" s="126" t="s">
        <v>1838</v>
      </c>
      <c r="R6" s="126" t="s">
        <v>1333</v>
      </c>
      <c r="S6" s="126" t="s">
        <v>1207</v>
      </c>
      <c r="T6" s="126" t="s">
        <v>781</v>
      </c>
      <c r="U6" s="529" t="s">
        <v>1916</v>
      </c>
      <c r="V6" s="126" t="s">
        <v>849</v>
      </c>
      <c r="W6" s="126" t="s">
        <v>1714</v>
      </c>
      <c r="X6" s="126" t="s">
        <v>1195</v>
      </c>
      <c r="Y6" s="126" t="s">
        <v>810</v>
      </c>
      <c r="Z6" s="126" t="s">
        <v>1266</v>
      </c>
      <c r="AA6" s="126" t="s">
        <v>497</v>
      </c>
      <c r="AB6" s="282" t="s">
        <v>1659</v>
      </c>
      <c r="AC6" s="126" t="s">
        <v>1713</v>
      </c>
      <c r="AD6" s="126" t="s">
        <v>988</v>
      </c>
      <c r="AE6" s="126" t="s">
        <v>1715</v>
      </c>
      <c r="AF6" s="107" t="s">
        <v>1967</v>
      </c>
      <c r="AG6" s="330">
        <v>0.86</v>
      </c>
      <c r="AK6" s="282" t="s">
        <v>1661</v>
      </c>
      <c r="AL6" s="126" t="s">
        <v>1673</v>
      </c>
      <c r="AM6" s="126" t="s">
        <v>1675</v>
      </c>
      <c r="AN6" s="126" t="s">
        <v>1858</v>
      </c>
      <c r="AO6" s="282" t="s">
        <v>1884</v>
      </c>
      <c r="AP6" s="282" t="s">
        <v>1885</v>
      </c>
      <c r="AQ6" s="107" t="s">
        <v>2308</v>
      </c>
      <c r="AR6" s="282" t="s">
        <v>1886</v>
      </c>
      <c r="AS6" s="330">
        <v>0.63</v>
      </c>
    </row>
    <row r="7" spans="1:45" ht="144">
      <c r="A7" s="126" t="s">
        <v>1656</v>
      </c>
      <c r="B7" s="126" t="s">
        <v>1655</v>
      </c>
      <c r="C7" s="126" t="s">
        <v>1676</v>
      </c>
      <c r="D7" s="126" t="s">
        <v>2335</v>
      </c>
      <c r="E7" s="126" t="s">
        <v>1677</v>
      </c>
      <c r="F7" s="107" t="s">
        <v>2415</v>
      </c>
      <c r="G7" s="126" t="s">
        <v>1195</v>
      </c>
      <c r="H7" s="126" t="s">
        <v>938</v>
      </c>
      <c r="I7" s="126" t="s">
        <v>1284</v>
      </c>
      <c r="J7" s="126" t="s">
        <v>1285</v>
      </c>
      <c r="K7" s="52"/>
      <c r="L7" s="107" t="s">
        <v>1870</v>
      </c>
      <c r="M7" s="330">
        <v>0.62</v>
      </c>
      <c r="N7" s="126" t="s">
        <v>1849</v>
      </c>
      <c r="O7" s="126" t="s">
        <v>988</v>
      </c>
      <c r="P7" s="126" t="s">
        <v>1839</v>
      </c>
      <c r="R7" s="126" t="s">
        <v>1333</v>
      </c>
      <c r="S7" s="126" t="s">
        <v>1208</v>
      </c>
      <c r="T7" s="126" t="s">
        <v>1716</v>
      </c>
      <c r="U7" s="602" t="s">
        <v>1917</v>
      </c>
      <c r="V7" s="126" t="s">
        <v>1717</v>
      </c>
      <c r="W7" s="126" t="s">
        <v>1718</v>
      </c>
      <c r="X7" s="126" t="s">
        <v>1195</v>
      </c>
      <c r="Y7" s="126" t="s">
        <v>810</v>
      </c>
      <c r="Z7" s="126" t="s">
        <v>1235</v>
      </c>
      <c r="AA7" s="126" t="s">
        <v>1234</v>
      </c>
      <c r="AB7" s="282" t="s">
        <v>1649</v>
      </c>
      <c r="AC7" s="126" t="s">
        <v>1673</v>
      </c>
      <c r="AD7" s="126" t="s">
        <v>988</v>
      </c>
      <c r="AE7" s="126" t="s">
        <v>1719</v>
      </c>
      <c r="AF7" s="107" t="s">
        <v>1968</v>
      </c>
      <c r="AG7" s="330">
        <v>0.8</v>
      </c>
      <c r="AK7" s="282" t="s">
        <v>1655</v>
      </c>
      <c r="AL7" s="126" t="s">
        <v>1676</v>
      </c>
      <c r="AM7" s="126" t="s">
        <v>1678</v>
      </c>
      <c r="AN7" s="126" t="s">
        <v>1859</v>
      </c>
      <c r="AO7" s="282" t="s">
        <v>1887</v>
      </c>
      <c r="AP7" s="282" t="s">
        <v>1888</v>
      </c>
      <c r="AQ7" s="107" t="s">
        <v>1914</v>
      </c>
      <c r="AR7" s="282" t="s">
        <v>1889</v>
      </c>
      <c r="AS7" s="330">
        <v>0.62</v>
      </c>
    </row>
    <row r="8" spans="1:45" ht="144">
      <c r="A8" s="126" t="s">
        <v>1658</v>
      </c>
      <c r="B8" s="126" t="s">
        <v>1657</v>
      </c>
      <c r="C8" s="126" t="s">
        <v>1679</v>
      </c>
      <c r="D8" s="126" t="s">
        <v>2335</v>
      </c>
      <c r="E8" s="126" t="s">
        <v>1680</v>
      </c>
      <c r="F8" s="107" t="s">
        <v>2416</v>
      </c>
      <c r="G8" s="126" t="s">
        <v>1195</v>
      </c>
      <c r="H8" s="126" t="s">
        <v>938</v>
      </c>
      <c r="I8" s="126" t="s">
        <v>1284</v>
      </c>
      <c r="J8" s="126" t="s">
        <v>1285</v>
      </c>
      <c r="K8" s="510"/>
      <c r="L8" s="107" t="s">
        <v>1871</v>
      </c>
      <c r="M8" s="330">
        <v>0.59</v>
      </c>
      <c r="N8" s="126" t="s">
        <v>1850</v>
      </c>
      <c r="O8" s="126" t="s">
        <v>988</v>
      </c>
      <c r="P8" s="126" t="s">
        <v>1840</v>
      </c>
      <c r="R8" s="126" t="s">
        <v>1333</v>
      </c>
      <c r="S8" s="126" t="s">
        <v>1209</v>
      </c>
      <c r="T8" s="126" t="s">
        <v>1720</v>
      </c>
      <c r="U8" s="602" t="s">
        <v>1918</v>
      </c>
      <c r="V8" s="126" t="s">
        <v>1721</v>
      </c>
      <c r="W8" s="126" t="s">
        <v>1722</v>
      </c>
      <c r="X8" s="126" t="s">
        <v>1195</v>
      </c>
      <c r="Y8" s="126" t="s">
        <v>1723</v>
      </c>
      <c r="Z8" s="126" t="s">
        <v>1724</v>
      </c>
      <c r="AA8" s="126" t="s">
        <v>1232</v>
      </c>
      <c r="AB8" s="126" t="s">
        <v>2233</v>
      </c>
      <c r="AC8" s="126" t="s">
        <v>1673</v>
      </c>
      <c r="AD8" s="126" t="s">
        <v>988</v>
      </c>
      <c r="AE8" s="126" t="s">
        <v>1725</v>
      </c>
      <c r="AF8" s="126" t="s">
        <v>1965</v>
      </c>
      <c r="AG8" s="330">
        <v>7.0000000000000007E-2</v>
      </c>
      <c r="AK8" s="282" t="s">
        <v>1657</v>
      </c>
      <c r="AL8" s="126" t="s">
        <v>1679</v>
      </c>
      <c r="AM8" s="126" t="s">
        <v>1681</v>
      </c>
      <c r="AN8" s="126" t="s">
        <v>1860</v>
      </c>
      <c r="AO8" s="282" t="s">
        <v>1890</v>
      </c>
      <c r="AP8" s="282" t="s">
        <v>1891</v>
      </c>
      <c r="AQ8" s="107" t="s">
        <v>1915</v>
      </c>
      <c r="AR8" s="282" t="s">
        <v>1892</v>
      </c>
      <c r="AS8" s="330">
        <v>0.59</v>
      </c>
    </row>
    <row r="9" spans="1:45" ht="144">
      <c r="A9" s="126" t="s">
        <v>1660</v>
      </c>
      <c r="B9" s="126" t="s">
        <v>1659</v>
      </c>
      <c r="C9" s="126" t="s">
        <v>1682</v>
      </c>
      <c r="D9" s="126" t="s">
        <v>2335</v>
      </c>
      <c r="E9" s="126" t="s">
        <v>1683</v>
      </c>
      <c r="F9" s="107" t="s">
        <v>2417</v>
      </c>
      <c r="G9" s="126" t="s">
        <v>1195</v>
      </c>
      <c r="H9" s="126" t="s">
        <v>938</v>
      </c>
      <c r="I9" s="126" t="s">
        <v>1284</v>
      </c>
      <c r="J9" s="126" t="s">
        <v>1285</v>
      </c>
      <c r="K9" s="510"/>
      <c r="L9" s="107" t="s">
        <v>1872</v>
      </c>
      <c r="M9" s="330">
        <v>0.51</v>
      </c>
      <c r="N9" s="126" t="s">
        <v>1851</v>
      </c>
      <c r="O9" s="126" t="s">
        <v>990</v>
      </c>
      <c r="P9" s="126" t="s">
        <v>1841</v>
      </c>
      <c r="R9" s="126" t="s">
        <v>1333</v>
      </c>
      <c r="S9" s="126" t="s">
        <v>1210</v>
      </c>
      <c r="T9" s="126" t="s">
        <v>1217</v>
      </c>
      <c r="U9" s="602" t="s">
        <v>1919</v>
      </c>
      <c r="V9" s="126" t="s">
        <v>1218</v>
      </c>
      <c r="W9" s="126" t="s">
        <v>1726</v>
      </c>
      <c r="X9" s="126" t="s">
        <v>1195</v>
      </c>
      <c r="Y9" s="126" t="s">
        <v>1335</v>
      </c>
      <c r="Z9" s="126" t="s">
        <v>1336</v>
      </c>
      <c r="AA9" s="126" t="s">
        <v>1337</v>
      </c>
      <c r="AB9" s="126" t="s">
        <v>2233</v>
      </c>
      <c r="AC9" s="126" t="s">
        <v>1673</v>
      </c>
      <c r="AD9" s="126" t="s">
        <v>988</v>
      </c>
      <c r="AE9" s="126" t="s">
        <v>1220</v>
      </c>
      <c r="AF9" s="107" t="s">
        <v>1969</v>
      </c>
      <c r="AG9" s="330">
        <v>0.04</v>
      </c>
      <c r="AK9" s="282" t="s">
        <v>1659</v>
      </c>
      <c r="AL9" s="126" t="s">
        <v>1682</v>
      </c>
      <c r="AM9" s="126" t="s">
        <v>1684</v>
      </c>
      <c r="AN9" s="126" t="s">
        <v>1861</v>
      </c>
      <c r="AO9" s="282" t="s">
        <v>1893</v>
      </c>
      <c r="AP9" s="282" t="s">
        <v>1894</v>
      </c>
      <c r="AQ9" s="126" t="s">
        <v>1707</v>
      </c>
      <c r="AR9" s="282" t="s">
        <v>1895</v>
      </c>
      <c r="AS9" s="330">
        <v>0.51</v>
      </c>
    </row>
    <row r="10" spans="1:45" ht="144">
      <c r="A10" s="126" t="s">
        <v>1650</v>
      </c>
      <c r="B10" s="126" t="s">
        <v>1649</v>
      </c>
      <c r="C10" s="126" t="s">
        <v>1685</v>
      </c>
      <c r="D10" s="126" t="s">
        <v>2334</v>
      </c>
      <c r="E10" s="126" t="s">
        <v>1686</v>
      </c>
      <c r="F10" s="107" t="s">
        <v>2418</v>
      </c>
      <c r="G10" s="126" t="s">
        <v>1195</v>
      </c>
      <c r="H10" s="126" t="s">
        <v>938</v>
      </c>
      <c r="I10" s="126" t="s">
        <v>1284</v>
      </c>
      <c r="J10" s="126" t="s">
        <v>1285</v>
      </c>
      <c r="K10" s="510"/>
      <c r="L10" s="107" t="s">
        <v>1873</v>
      </c>
      <c r="M10" s="330">
        <v>0.59</v>
      </c>
      <c r="N10" s="126" t="s">
        <v>1852</v>
      </c>
      <c r="O10" s="126" t="s">
        <v>988</v>
      </c>
      <c r="P10" s="126" t="s">
        <v>1842</v>
      </c>
      <c r="R10" s="126" t="s">
        <v>1333</v>
      </c>
      <c r="S10" s="126" t="s">
        <v>1286</v>
      </c>
      <c r="T10" s="126" t="s">
        <v>1727</v>
      </c>
      <c r="U10" s="602" t="s">
        <v>1920</v>
      </c>
      <c r="V10" s="126" t="s">
        <v>1728</v>
      </c>
      <c r="W10" s="126" t="s">
        <v>1729</v>
      </c>
      <c r="X10" s="126" t="s">
        <v>1195</v>
      </c>
      <c r="Y10" s="126" t="s">
        <v>1324</v>
      </c>
      <c r="Z10" s="126" t="s">
        <v>1730</v>
      </c>
      <c r="AA10" s="126" t="s">
        <v>1323</v>
      </c>
      <c r="AB10" s="282" t="s">
        <v>1649</v>
      </c>
      <c r="AC10" s="126" t="s">
        <v>1673</v>
      </c>
      <c r="AD10" s="126" t="s">
        <v>988</v>
      </c>
      <c r="AE10" s="126" t="s">
        <v>1731</v>
      </c>
      <c r="AF10" s="107" t="s">
        <v>1970</v>
      </c>
      <c r="AG10" s="330">
        <v>0.49</v>
      </c>
      <c r="AK10" s="282" t="s">
        <v>1649</v>
      </c>
      <c r="AL10" s="126" t="s">
        <v>1685</v>
      </c>
      <c r="AM10" s="126" t="s">
        <v>1687</v>
      </c>
      <c r="AN10" s="126" t="s">
        <v>1862</v>
      </c>
      <c r="AO10" s="282" t="s">
        <v>1896</v>
      </c>
      <c r="AP10" s="282" t="s">
        <v>1897</v>
      </c>
      <c r="AQ10" s="126" t="s">
        <v>1708</v>
      </c>
      <c r="AR10" s="282" t="s">
        <v>1898</v>
      </c>
      <c r="AS10" s="330">
        <v>0.59</v>
      </c>
    </row>
    <row r="11" spans="1:45" ht="144">
      <c r="A11" s="126" t="s">
        <v>1652</v>
      </c>
      <c r="B11" s="126" t="s">
        <v>1651</v>
      </c>
      <c r="C11" s="126" t="s">
        <v>1688</v>
      </c>
      <c r="D11" s="126" t="s">
        <v>2333</v>
      </c>
      <c r="E11" s="126" t="s">
        <v>1689</v>
      </c>
      <c r="F11" s="107" t="s">
        <v>2419</v>
      </c>
      <c r="G11" s="126" t="s">
        <v>1195</v>
      </c>
      <c r="H11" s="126" t="s">
        <v>938</v>
      </c>
      <c r="I11" s="126" t="s">
        <v>1284</v>
      </c>
      <c r="J11" s="126" t="s">
        <v>1285</v>
      </c>
      <c r="K11" s="510"/>
      <c r="L11" s="107" t="s">
        <v>1874</v>
      </c>
      <c r="M11" s="330">
        <v>0.56000000000000005</v>
      </c>
      <c r="N11" s="126" t="s">
        <v>1853</v>
      </c>
      <c r="O11" s="126" t="s">
        <v>988</v>
      </c>
      <c r="P11" s="126" t="s">
        <v>1843</v>
      </c>
      <c r="R11" s="126" t="s">
        <v>1333</v>
      </c>
      <c r="S11" s="126" t="s">
        <v>1325</v>
      </c>
      <c r="T11" s="126" t="s">
        <v>1326</v>
      </c>
      <c r="U11" s="602" t="s">
        <v>1921</v>
      </c>
      <c r="V11" s="126" t="s">
        <v>1327</v>
      </c>
      <c r="W11" s="126" t="s">
        <v>1732</v>
      </c>
      <c r="X11" s="126" t="s">
        <v>1195</v>
      </c>
      <c r="Y11" s="126" t="s">
        <v>1182</v>
      </c>
      <c r="Z11" s="126" t="s">
        <v>1183</v>
      </c>
      <c r="AA11" s="126" t="s">
        <v>1184</v>
      </c>
      <c r="AB11" s="282" t="s">
        <v>1661</v>
      </c>
      <c r="AC11" s="126" t="s">
        <v>1673</v>
      </c>
      <c r="AD11" s="126" t="s">
        <v>988</v>
      </c>
      <c r="AE11" s="126" t="s">
        <v>1733</v>
      </c>
      <c r="AF11" s="107" t="s">
        <v>1964</v>
      </c>
      <c r="AG11" s="330">
        <v>1.04</v>
      </c>
      <c r="AK11" s="282" t="s">
        <v>1651</v>
      </c>
      <c r="AL11" s="126" t="s">
        <v>1688</v>
      </c>
      <c r="AM11" s="126" t="s">
        <v>1690</v>
      </c>
      <c r="AN11" s="126" t="s">
        <v>1863</v>
      </c>
      <c r="AO11" s="282" t="s">
        <v>1899</v>
      </c>
      <c r="AP11" s="282" t="s">
        <v>1900</v>
      </c>
      <c r="AQ11" s="126" t="s">
        <v>1709</v>
      </c>
      <c r="AR11" s="282" t="s">
        <v>1901</v>
      </c>
      <c r="AS11" s="330">
        <v>0.56000000000000005</v>
      </c>
    </row>
    <row r="12" spans="1:45" ht="144">
      <c r="A12" s="126" t="s">
        <v>1340</v>
      </c>
      <c r="B12" s="126" t="s">
        <v>1653</v>
      </c>
      <c r="C12" s="126" t="s">
        <v>1691</v>
      </c>
      <c r="D12" s="126" t="s">
        <v>2334</v>
      </c>
      <c r="E12" s="126" t="s">
        <v>1692</v>
      </c>
      <c r="F12" s="107" t="s">
        <v>2420</v>
      </c>
      <c r="G12" s="126" t="s">
        <v>1195</v>
      </c>
      <c r="H12" s="126" t="s">
        <v>938</v>
      </c>
      <c r="I12" s="126" t="s">
        <v>1284</v>
      </c>
      <c r="J12" s="126" t="s">
        <v>1285</v>
      </c>
      <c r="K12" s="510"/>
      <c r="L12" s="107" t="s">
        <v>1875</v>
      </c>
      <c r="M12" s="330">
        <v>0.71</v>
      </c>
      <c r="N12" s="126" t="s">
        <v>1854</v>
      </c>
      <c r="O12" s="126" t="s">
        <v>988</v>
      </c>
      <c r="P12" s="126" t="s">
        <v>1844</v>
      </c>
      <c r="R12" s="126" t="s">
        <v>1333</v>
      </c>
      <c r="S12" s="126" t="s">
        <v>1328</v>
      </c>
      <c r="T12" s="126" t="s">
        <v>1329</v>
      </c>
      <c r="U12" s="602" t="s">
        <v>1922</v>
      </c>
      <c r="V12" s="126" t="s">
        <v>1330</v>
      </c>
      <c r="W12" s="126" t="s">
        <v>1734</v>
      </c>
      <c r="X12" s="126" t="s">
        <v>1195</v>
      </c>
      <c r="Y12" s="126" t="s">
        <v>1182</v>
      </c>
      <c r="Z12" s="126" t="s">
        <v>1183</v>
      </c>
      <c r="AA12" s="126" t="s">
        <v>1184</v>
      </c>
      <c r="AB12" s="282" t="s">
        <v>1659</v>
      </c>
      <c r="AC12" s="126" t="s">
        <v>1682</v>
      </c>
      <c r="AD12" s="126" t="s">
        <v>988</v>
      </c>
      <c r="AE12" s="126" t="s">
        <v>1331</v>
      </c>
      <c r="AF12" s="107" t="s">
        <v>1971</v>
      </c>
      <c r="AG12" s="330">
        <v>1.06</v>
      </c>
      <c r="AK12" s="282" t="s">
        <v>1653</v>
      </c>
      <c r="AL12" s="126" t="s">
        <v>1691</v>
      </c>
      <c r="AM12" s="126" t="s">
        <v>1693</v>
      </c>
      <c r="AN12" s="126" t="s">
        <v>1864</v>
      </c>
      <c r="AO12" s="282" t="s">
        <v>1902</v>
      </c>
      <c r="AP12" s="282" t="s">
        <v>1903</v>
      </c>
      <c r="AQ12" s="126" t="s">
        <v>1710</v>
      </c>
      <c r="AR12" s="282" t="s">
        <v>1904</v>
      </c>
      <c r="AS12" s="330">
        <v>0.71</v>
      </c>
    </row>
    <row r="13" spans="1:45" ht="144">
      <c r="A13" s="126" t="s">
        <v>1694</v>
      </c>
      <c r="B13" s="126" t="s">
        <v>1654</v>
      </c>
      <c r="C13" s="126" t="s">
        <v>1695</v>
      </c>
      <c r="D13" s="126" t="s">
        <v>2334</v>
      </c>
      <c r="E13" s="126" t="s">
        <v>1696</v>
      </c>
      <c r="F13" s="107" t="s">
        <v>2337</v>
      </c>
      <c r="G13" s="126" t="s">
        <v>1195</v>
      </c>
      <c r="H13" s="126" t="s">
        <v>938</v>
      </c>
      <c r="I13" s="126" t="s">
        <v>1284</v>
      </c>
      <c r="J13" s="126" t="s">
        <v>1285</v>
      </c>
      <c r="K13" s="510"/>
      <c r="L13" s="107" t="s">
        <v>2309</v>
      </c>
      <c r="M13" s="330">
        <v>0.83</v>
      </c>
      <c r="N13" s="126" t="s">
        <v>1855</v>
      </c>
      <c r="O13" s="126" t="s">
        <v>990</v>
      </c>
      <c r="P13" s="126" t="s">
        <v>1845</v>
      </c>
      <c r="R13" s="126" t="s">
        <v>1333</v>
      </c>
      <c r="S13" s="126" t="s">
        <v>1280</v>
      </c>
      <c r="T13" s="126" t="s">
        <v>1281</v>
      </c>
      <c r="U13" s="602" t="s">
        <v>1923</v>
      </c>
      <c r="V13" s="126" t="s">
        <v>1282</v>
      </c>
      <c r="W13" s="126" t="s">
        <v>1735</v>
      </c>
      <c r="X13" s="126" t="s">
        <v>1195</v>
      </c>
      <c r="Y13" s="126" t="s">
        <v>387</v>
      </c>
      <c r="Z13" s="126" t="s">
        <v>1187</v>
      </c>
      <c r="AA13" s="126" t="s">
        <v>1188</v>
      </c>
      <c r="AB13" s="282" t="s">
        <v>1661</v>
      </c>
      <c r="AC13" s="126" t="s">
        <v>1673</v>
      </c>
      <c r="AD13" s="126" t="s">
        <v>988</v>
      </c>
      <c r="AE13" s="126" t="s">
        <v>1283</v>
      </c>
      <c r="AF13" s="107" t="s">
        <v>1972</v>
      </c>
      <c r="AG13" s="331">
        <v>4.5999999999999999E-2</v>
      </c>
      <c r="AK13" s="282" t="s">
        <v>1654</v>
      </c>
      <c r="AL13" s="126" t="s">
        <v>1695</v>
      </c>
      <c r="AM13" s="126" t="s">
        <v>1697</v>
      </c>
      <c r="AN13" s="126" t="s">
        <v>1865</v>
      </c>
      <c r="AO13" s="282" t="s">
        <v>1905</v>
      </c>
      <c r="AP13" s="282" t="s">
        <v>1906</v>
      </c>
      <c r="AQ13" s="107" t="s">
        <v>1711</v>
      </c>
      <c r="AR13" s="282" t="s">
        <v>1907</v>
      </c>
      <c r="AS13" s="330">
        <v>0.83</v>
      </c>
    </row>
    <row r="14" spans="1:45" ht="144">
      <c r="A14" s="126" t="s">
        <v>1698</v>
      </c>
      <c r="B14" s="126" t="s">
        <v>1645</v>
      </c>
      <c r="C14" s="126" t="s">
        <v>1699</v>
      </c>
      <c r="D14" s="107" t="s">
        <v>2334</v>
      </c>
      <c r="E14" s="126" t="s">
        <v>1700</v>
      </c>
      <c r="F14" s="107" t="s">
        <v>2421</v>
      </c>
      <c r="G14" s="126" t="s">
        <v>1195</v>
      </c>
      <c r="H14" s="126" t="s">
        <v>938</v>
      </c>
      <c r="I14" s="126" t="s">
        <v>1284</v>
      </c>
      <c r="J14" s="126" t="s">
        <v>1285</v>
      </c>
      <c r="K14" s="510"/>
      <c r="L14" s="107" t="s">
        <v>1876</v>
      </c>
      <c r="M14" s="330">
        <v>0.73</v>
      </c>
      <c r="N14" s="126" t="s">
        <v>1856</v>
      </c>
      <c r="O14" s="126" t="s">
        <v>988</v>
      </c>
      <c r="P14" s="126" t="s">
        <v>1846</v>
      </c>
      <c r="R14" s="126" t="s">
        <v>1333</v>
      </c>
      <c r="S14" s="126" t="s">
        <v>1342</v>
      </c>
      <c r="T14" s="126" t="s">
        <v>1343</v>
      </c>
      <c r="U14" s="602" t="s">
        <v>1924</v>
      </c>
      <c r="V14" s="126" t="s">
        <v>1344</v>
      </c>
      <c r="W14" s="126" t="s">
        <v>1736</v>
      </c>
      <c r="X14" s="126" t="s">
        <v>1195</v>
      </c>
      <c r="Y14" s="126" t="s">
        <v>909</v>
      </c>
      <c r="Z14" s="126" t="s">
        <v>1345</v>
      </c>
      <c r="AA14" s="126" t="s">
        <v>1186</v>
      </c>
      <c r="AB14" s="126" t="s">
        <v>2233</v>
      </c>
      <c r="AC14" s="126" t="s">
        <v>1713</v>
      </c>
      <c r="AD14" s="126" t="s">
        <v>988</v>
      </c>
      <c r="AE14" s="126" t="s">
        <v>1346</v>
      </c>
      <c r="AF14" s="107" t="s">
        <v>1973</v>
      </c>
      <c r="AG14" s="330">
        <v>0.92</v>
      </c>
      <c r="AK14" s="282" t="s">
        <v>1645</v>
      </c>
      <c r="AL14" s="126" t="s">
        <v>1699</v>
      </c>
      <c r="AM14" s="126" t="s">
        <v>1701</v>
      </c>
      <c r="AN14" s="126" t="s">
        <v>1866</v>
      </c>
      <c r="AO14" s="282" t="s">
        <v>1908</v>
      </c>
      <c r="AP14" s="282" t="s">
        <v>1909</v>
      </c>
      <c r="AQ14" s="126" t="s">
        <v>1712</v>
      </c>
      <c r="AR14" s="282" t="s">
        <v>1910</v>
      </c>
      <c r="AS14" s="330">
        <v>0.73</v>
      </c>
    </row>
    <row r="15" spans="1:45" ht="144">
      <c r="A15" s="126" t="s">
        <v>1671</v>
      </c>
      <c r="B15" s="126" t="s">
        <v>1702</v>
      </c>
      <c r="C15" s="126" t="s">
        <v>1703</v>
      </c>
      <c r="D15" s="126" t="s">
        <v>2333</v>
      </c>
      <c r="E15" s="126" t="s">
        <v>1704</v>
      </c>
      <c r="F15" s="107" t="s">
        <v>2422</v>
      </c>
      <c r="G15" s="126" t="s">
        <v>1195</v>
      </c>
      <c r="H15" s="126" t="s">
        <v>938</v>
      </c>
      <c r="I15" s="126" t="s">
        <v>1284</v>
      </c>
      <c r="J15" s="126" t="s">
        <v>1285</v>
      </c>
      <c r="K15" s="510"/>
      <c r="L15" s="107" t="s">
        <v>1877</v>
      </c>
      <c r="M15" s="330">
        <v>0.81</v>
      </c>
      <c r="N15" s="126" t="s">
        <v>1857</v>
      </c>
      <c r="O15" s="126" t="s">
        <v>988</v>
      </c>
      <c r="P15" s="126" t="s">
        <v>1847</v>
      </c>
      <c r="R15" s="126" t="s">
        <v>1341</v>
      </c>
      <c r="S15" s="126" t="s">
        <v>1319</v>
      </c>
      <c r="T15" s="126" t="s">
        <v>1737</v>
      </c>
      <c r="U15" s="602" t="s">
        <v>1925</v>
      </c>
      <c r="V15" s="126" t="s">
        <v>1738</v>
      </c>
      <c r="W15" s="126" t="s">
        <v>1739</v>
      </c>
      <c r="X15" s="126" t="s">
        <v>1195</v>
      </c>
      <c r="Y15" s="126" t="s">
        <v>909</v>
      </c>
      <c r="Z15" s="126" t="s">
        <v>1173</v>
      </c>
      <c r="AA15" s="126" t="s">
        <v>1174</v>
      </c>
      <c r="AB15" s="126" t="s">
        <v>2233</v>
      </c>
      <c r="AC15" s="126" t="s">
        <v>1699</v>
      </c>
      <c r="AD15" s="126" t="s">
        <v>988</v>
      </c>
      <c r="AE15" s="126" t="s">
        <v>1740</v>
      </c>
      <c r="AF15" s="107" t="s">
        <v>1974</v>
      </c>
      <c r="AG15" s="330">
        <v>0.94</v>
      </c>
      <c r="AK15" s="282" t="s">
        <v>1702</v>
      </c>
      <c r="AL15" s="126" t="s">
        <v>1703</v>
      </c>
      <c r="AM15" s="126" t="s">
        <v>1705</v>
      </c>
      <c r="AN15" s="126" t="s">
        <v>1867</v>
      </c>
      <c r="AO15" s="282" t="s">
        <v>1911</v>
      </c>
      <c r="AP15" s="282" t="s">
        <v>1912</v>
      </c>
      <c r="AQ15" s="126" t="s">
        <v>1706</v>
      </c>
      <c r="AR15" s="282" t="s">
        <v>1913</v>
      </c>
      <c r="AS15" s="330">
        <v>0.81</v>
      </c>
    </row>
    <row r="16" spans="1:45" ht="26.4">
      <c r="A16" s="529"/>
      <c r="B16" s="529"/>
      <c r="C16" s="529"/>
      <c r="D16" s="529"/>
      <c r="E16" s="529"/>
      <c r="F16" s="529"/>
      <c r="G16" s="531"/>
      <c r="H16" s="126"/>
      <c r="I16" s="126"/>
      <c r="J16" s="126"/>
      <c r="K16" s="536"/>
      <c r="L16" s="126"/>
      <c r="M16" s="529"/>
      <c r="N16" s="529"/>
      <c r="O16" s="52"/>
      <c r="P16" s="52"/>
      <c r="R16" s="532" t="s">
        <v>1341</v>
      </c>
      <c r="S16" s="532" t="s">
        <v>1320</v>
      </c>
      <c r="T16" s="532" t="s">
        <v>1741</v>
      </c>
      <c r="U16" s="602" t="s">
        <v>1926</v>
      </c>
      <c r="V16" s="532" t="s">
        <v>1742</v>
      </c>
      <c r="W16" s="532" t="s">
        <v>1743</v>
      </c>
      <c r="X16" s="532" t="s">
        <v>1195</v>
      </c>
      <c r="Y16" s="532" t="s">
        <v>1275</v>
      </c>
      <c r="Z16" s="532" t="s">
        <v>1291</v>
      </c>
      <c r="AA16" s="532" t="s">
        <v>1292</v>
      </c>
      <c r="AB16" s="126" t="s">
        <v>2233</v>
      </c>
      <c r="AC16" s="532" t="s">
        <v>1699</v>
      </c>
      <c r="AD16" s="532" t="s">
        <v>1219</v>
      </c>
      <c r="AE16" s="532" t="s">
        <v>1744</v>
      </c>
      <c r="AF16" s="107" t="s">
        <v>1975</v>
      </c>
      <c r="AG16" s="533">
        <v>0.8</v>
      </c>
    </row>
    <row r="17" spans="18:45" ht="51" customHeight="1">
      <c r="R17" s="532" t="s">
        <v>1341</v>
      </c>
      <c r="S17" s="532" t="s">
        <v>1355</v>
      </c>
      <c r="T17" s="532" t="s">
        <v>1745</v>
      </c>
      <c r="U17" s="602" t="s">
        <v>1927</v>
      </c>
      <c r="V17" s="532" t="s">
        <v>1746</v>
      </c>
      <c r="W17" s="532" t="s">
        <v>1747</v>
      </c>
      <c r="X17" s="532" t="s">
        <v>1195</v>
      </c>
      <c r="Y17" s="532" t="s">
        <v>1748</v>
      </c>
      <c r="Z17" s="532" t="s">
        <v>1749</v>
      </c>
      <c r="AA17" s="532" t="s">
        <v>1750</v>
      </c>
      <c r="AB17" s="126" t="s">
        <v>2233</v>
      </c>
      <c r="AC17" s="532" t="s">
        <v>1688</v>
      </c>
      <c r="AD17" s="532" t="s">
        <v>1219</v>
      </c>
      <c r="AE17" s="532" t="s">
        <v>1751</v>
      </c>
      <c r="AF17" s="107" t="s">
        <v>1976</v>
      </c>
      <c r="AG17" s="533">
        <v>0.55000000000000004</v>
      </c>
    </row>
    <row r="18" spans="18:45" ht="51" customHeight="1">
      <c r="R18" s="532" t="s">
        <v>1341</v>
      </c>
      <c r="S18" s="532" t="s">
        <v>1215</v>
      </c>
      <c r="T18" s="532" t="s">
        <v>1752</v>
      </c>
      <c r="U18" s="602" t="s">
        <v>1928</v>
      </c>
      <c r="V18" s="532" t="s">
        <v>1753</v>
      </c>
      <c r="W18" s="532" t="s">
        <v>1754</v>
      </c>
      <c r="X18" s="532" t="s">
        <v>1195</v>
      </c>
      <c r="Y18" s="532" t="s">
        <v>495</v>
      </c>
      <c r="Z18" s="532" t="s">
        <v>496</v>
      </c>
      <c r="AA18" s="532" t="s">
        <v>497</v>
      </c>
      <c r="AB18" s="126" t="s">
        <v>2233</v>
      </c>
      <c r="AC18" s="532" t="s">
        <v>1699</v>
      </c>
      <c r="AD18" s="532" t="s">
        <v>1755</v>
      </c>
      <c r="AE18" s="532" t="s">
        <v>1756</v>
      </c>
      <c r="AF18" s="107" t="s">
        <v>1977</v>
      </c>
      <c r="AG18" s="533">
        <v>0.9</v>
      </c>
    </row>
    <row r="19" spans="18:45" ht="63.75" customHeight="1">
      <c r="R19" s="126" t="s">
        <v>1341</v>
      </c>
      <c r="S19" s="126" t="s">
        <v>1322</v>
      </c>
      <c r="T19" s="126" t="s">
        <v>1757</v>
      </c>
      <c r="U19" s="602" t="s">
        <v>1929</v>
      </c>
      <c r="V19" s="126" t="s">
        <v>1758</v>
      </c>
      <c r="W19" s="126" t="s">
        <v>1759</v>
      </c>
      <c r="X19" s="126" t="s">
        <v>1195</v>
      </c>
      <c r="Y19" s="126" t="s">
        <v>909</v>
      </c>
      <c r="Z19" s="126" t="s">
        <v>1173</v>
      </c>
      <c r="AA19" s="126" t="s">
        <v>1174</v>
      </c>
      <c r="AB19" s="126" t="s">
        <v>2233</v>
      </c>
      <c r="AC19" s="126" t="s">
        <v>1699</v>
      </c>
      <c r="AD19" s="126" t="s">
        <v>988</v>
      </c>
      <c r="AE19" s="126" t="s">
        <v>1760</v>
      </c>
      <c r="AF19" s="107" t="s">
        <v>1978</v>
      </c>
      <c r="AG19" s="330">
        <v>0.94</v>
      </c>
      <c r="AK19" s="598" t="s">
        <v>2011</v>
      </c>
      <c r="AL19" s="510"/>
      <c r="AM19" s="510"/>
      <c r="AN19" s="510"/>
      <c r="AO19" s="510"/>
      <c r="AP19" s="510"/>
      <c r="AQ19" s="510"/>
      <c r="AR19" s="510"/>
      <c r="AS19" s="510"/>
    </row>
    <row r="20" spans="18:45" ht="51" customHeight="1">
      <c r="R20" s="126" t="s">
        <v>1334</v>
      </c>
      <c r="S20" s="126" t="s">
        <v>1276</v>
      </c>
      <c r="T20" s="126" t="s">
        <v>1277</v>
      </c>
      <c r="U20" s="602" t="s">
        <v>1930</v>
      </c>
      <c r="V20" s="126" t="s">
        <v>1278</v>
      </c>
      <c r="W20" s="126" t="s">
        <v>1761</v>
      </c>
      <c r="X20" s="126" t="s">
        <v>1195</v>
      </c>
      <c r="Y20" s="126" t="s">
        <v>909</v>
      </c>
      <c r="Z20" s="126" t="s">
        <v>1173</v>
      </c>
      <c r="AA20" s="126" t="s">
        <v>1174</v>
      </c>
      <c r="AB20" s="282" t="s">
        <v>1651</v>
      </c>
      <c r="AC20" s="126" t="s">
        <v>1762</v>
      </c>
      <c r="AD20" s="126" t="s">
        <v>988</v>
      </c>
      <c r="AE20" s="126" t="s">
        <v>1279</v>
      </c>
      <c r="AF20" s="107" t="s">
        <v>1979</v>
      </c>
      <c r="AG20" s="330">
        <v>0.95</v>
      </c>
      <c r="AK20" s="599"/>
      <c r="AL20" s="510"/>
      <c r="AM20" s="510"/>
      <c r="AN20" s="510"/>
      <c r="AO20" s="510"/>
      <c r="AP20" s="510"/>
      <c r="AQ20" s="510"/>
      <c r="AR20" s="510"/>
      <c r="AS20" s="510"/>
    </row>
    <row r="21" spans="18:45" ht="63.75" customHeight="1">
      <c r="R21" s="126" t="s">
        <v>1334</v>
      </c>
      <c r="S21" s="126" t="s">
        <v>1303</v>
      </c>
      <c r="T21" s="107" t="s">
        <v>1304</v>
      </c>
      <c r="U21" s="602" t="s">
        <v>1931</v>
      </c>
      <c r="V21" s="126" t="s">
        <v>1305</v>
      </c>
      <c r="W21" s="126" t="s">
        <v>1763</v>
      </c>
      <c r="X21" s="126" t="s">
        <v>1195</v>
      </c>
      <c r="Y21" s="126" t="s">
        <v>495</v>
      </c>
      <c r="Z21" s="126" t="s">
        <v>1185</v>
      </c>
      <c r="AA21" s="126" t="s">
        <v>1186</v>
      </c>
      <c r="AB21" s="282" t="s">
        <v>1651</v>
      </c>
      <c r="AC21" s="126" t="s">
        <v>1682</v>
      </c>
      <c r="AD21" s="126" t="s">
        <v>990</v>
      </c>
      <c r="AE21" s="126" t="s">
        <v>1306</v>
      </c>
      <c r="AF21" s="107" t="s">
        <v>1980</v>
      </c>
      <c r="AG21" s="330">
        <v>0.9</v>
      </c>
      <c r="AK21" s="600" t="s">
        <v>1206</v>
      </c>
      <c r="AL21" s="600" t="s">
        <v>2012</v>
      </c>
      <c r="AM21" s="600" t="s">
        <v>843</v>
      </c>
      <c r="AN21" s="600" t="s">
        <v>1274</v>
      </c>
      <c r="AO21" s="600" t="s">
        <v>2013</v>
      </c>
      <c r="AP21" s="600" t="s">
        <v>2014</v>
      </c>
      <c r="AQ21" s="600" t="s">
        <v>2015</v>
      </c>
      <c r="AR21" s="600" t="s">
        <v>2016</v>
      </c>
      <c r="AS21" s="600" t="s">
        <v>456</v>
      </c>
    </row>
    <row r="22" spans="18:45" ht="86.4">
      <c r="R22" s="534" t="s">
        <v>1334</v>
      </c>
      <c r="S22" s="534" t="s">
        <v>1321</v>
      </c>
      <c r="T22" s="534" t="s">
        <v>1764</v>
      </c>
      <c r="U22" s="602" t="s">
        <v>1932</v>
      </c>
      <c r="V22" s="534" t="s">
        <v>1765</v>
      </c>
      <c r="W22" s="534" t="s">
        <v>1766</v>
      </c>
      <c r="X22" s="534" t="s">
        <v>1195</v>
      </c>
      <c r="Y22" s="534" t="s">
        <v>1648</v>
      </c>
      <c r="Z22" s="534" t="s">
        <v>1767</v>
      </c>
      <c r="AA22" s="534" t="s">
        <v>1287</v>
      </c>
      <c r="AB22" s="126" t="s">
        <v>2233</v>
      </c>
      <c r="AC22" s="534" t="s">
        <v>1688</v>
      </c>
      <c r="AD22" s="534" t="s">
        <v>1219</v>
      </c>
      <c r="AE22" s="534" t="s">
        <v>1768</v>
      </c>
      <c r="AF22" s="107" t="s">
        <v>1981</v>
      </c>
      <c r="AG22" s="535">
        <v>0.7</v>
      </c>
      <c r="AK22" s="126" t="s">
        <v>1207</v>
      </c>
      <c r="AL22" s="126" t="s">
        <v>781</v>
      </c>
      <c r="AM22" s="126" t="s">
        <v>849</v>
      </c>
      <c r="AN22" s="126" t="s">
        <v>2017</v>
      </c>
      <c r="AO22" s="282" t="s">
        <v>2018</v>
      </c>
      <c r="AP22" s="126" t="s">
        <v>2019</v>
      </c>
      <c r="AQ22" s="126" t="s">
        <v>2020</v>
      </c>
      <c r="AR22" s="331">
        <v>0.86109999999999998</v>
      </c>
      <c r="AS22" s="126" t="s">
        <v>2021</v>
      </c>
    </row>
    <row r="23" spans="18:45" ht="99.6">
      <c r="R23" s="126" t="s">
        <v>1334</v>
      </c>
      <c r="S23" s="126" t="s">
        <v>1348</v>
      </c>
      <c r="T23" s="126" t="s">
        <v>1349</v>
      </c>
      <c r="U23" s="602" t="s">
        <v>1933</v>
      </c>
      <c r="V23" s="126" t="s">
        <v>1350</v>
      </c>
      <c r="W23" s="126" t="s">
        <v>1769</v>
      </c>
      <c r="X23" s="126" t="s">
        <v>1195</v>
      </c>
      <c r="Y23" s="126" t="s">
        <v>1275</v>
      </c>
      <c r="Z23" s="126" t="s">
        <v>1351</v>
      </c>
      <c r="AA23" s="126" t="s">
        <v>1352</v>
      </c>
      <c r="AB23" s="282" t="s">
        <v>1653</v>
      </c>
      <c r="AC23" s="126" t="s">
        <v>1691</v>
      </c>
      <c r="AD23" s="126" t="s">
        <v>1219</v>
      </c>
      <c r="AE23" s="126" t="s">
        <v>1353</v>
      </c>
      <c r="AF23" s="107" t="s">
        <v>1982</v>
      </c>
      <c r="AG23" s="330">
        <v>0.78</v>
      </c>
      <c r="AK23" s="126" t="s">
        <v>1208</v>
      </c>
      <c r="AL23" s="126" t="s">
        <v>1716</v>
      </c>
      <c r="AM23" s="126" t="s">
        <v>1717</v>
      </c>
      <c r="AN23" s="126" t="s">
        <v>2022</v>
      </c>
      <c r="AO23" s="282" t="s">
        <v>2023</v>
      </c>
      <c r="AP23" s="126" t="s">
        <v>2024</v>
      </c>
      <c r="AQ23" s="126" t="s">
        <v>2025</v>
      </c>
      <c r="AR23" s="331">
        <v>0.79630000000000001</v>
      </c>
      <c r="AS23" s="126" t="s">
        <v>2026</v>
      </c>
    </row>
    <row r="24" spans="18:45" ht="86.4">
      <c r="R24" s="126" t="s">
        <v>1339</v>
      </c>
      <c r="S24" s="126" t="s">
        <v>1315</v>
      </c>
      <c r="T24" s="126" t="s">
        <v>1316</v>
      </c>
      <c r="U24" s="602" t="s">
        <v>1934</v>
      </c>
      <c r="V24" s="126" t="s">
        <v>1317</v>
      </c>
      <c r="W24" s="126" t="s">
        <v>1770</v>
      </c>
      <c r="X24" s="126" t="s">
        <v>1195</v>
      </c>
      <c r="Y24" s="126" t="s">
        <v>495</v>
      </c>
      <c r="Z24" s="126" t="s">
        <v>1185</v>
      </c>
      <c r="AA24" s="126" t="s">
        <v>1186</v>
      </c>
      <c r="AB24" s="282" t="s">
        <v>1654</v>
      </c>
      <c r="AC24" s="126" t="s">
        <v>1695</v>
      </c>
      <c r="AD24" s="126" t="s">
        <v>1219</v>
      </c>
      <c r="AE24" s="126" t="s">
        <v>1318</v>
      </c>
      <c r="AF24" s="107" t="s">
        <v>1983</v>
      </c>
      <c r="AG24" s="330">
        <v>0.9</v>
      </c>
      <c r="AK24" s="126" t="s">
        <v>1209</v>
      </c>
      <c r="AL24" s="126" t="s">
        <v>1720</v>
      </c>
      <c r="AM24" s="126" t="s">
        <v>1721</v>
      </c>
      <c r="AN24" s="126" t="s">
        <v>2027</v>
      </c>
      <c r="AO24" s="282" t="s">
        <v>2028</v>
      </c>
      <c r="AP24" s="126" t="s">
        <v>2029</v>
      </c>
      <c r="AQ24" s="126" t="s">
        <v>2030</v>
      </c>
      <c r="AR24" s="330">
        <v>7.0000000000000007E-2</v>
      </c>
      <c r="AS24" s="126" t="s">
        <v>2031</v>
      </c>
    </row>
    <row r="25" spans="18:45" ht="86.4">
      <c r="R25" s="126" t="s">
        <v>1339</v>
      </c>
      <c r="S25" s="126" t="s">
        <v>1360</v>
      </c>
      <c r="T25" s="107" t="s">
        <v>1361</v>
      </c>
      <c r="U25" s="602" t="s">
        <v>1935</v>
      </c>
      <c r="V25" s="126" t="s">
        <v>1362</v>
      </c>
      <c r="W25" s="126" t="s">
        <v>1771</v>
      </c>
      <c r="X25" s="126" t="s">
        <v>1195</v>
      </c>
      <c r="Y25" s="126" t="s">
        <v>909</v>
      </c>
      <c r="Z25" s="126" t="s">
        <v>1173</v>
      </c>
      <c r="AA25" s="126" t="s">
        <v>1174</v>
      </c>
      <c r="AB25" s="282" t="s">
        <v>1655</v>
      </c>
      <c r="AC25" s="126" t="s">
        <v>1676</v>
      </c>
      <c r="AD25" s="126" t="s">
        <v>1219</v>
      </c>
      <c r="AE25" s="126" t="s">
        <v>1363</v>
      </c>
      <c r="AF25" s="107" t="s">
        <v>1984</v>
      </c>
      <c r="AG25" s="330">
        <v>0.92</v>
      </c>
      <c r="AK25" s="126" t="s">
        <v>1210</v>
      </c>
      <c r="AL25" s="126" t="s">
        <v>1217</v>
      </c>
      <c r="AM25" s="126" t="s">
        <v>1218</v>
      </c>
      <c r="AN25" s="126" t="s">
        <v>2032</v>
      </c>
      <c r="AO25" s="282" t="s">
        <v>2033</v>
      </c>
      <c r="AP25" s="126" t="s">
        <v>2034</v>
      </c>
      <c r="AQ25" s="126" t="s">
        <v>2035</v>
      </c>
      <c r="AR25" s="330">
        <v>0.04</v>
      </c>
      <c r="AS25" s="126" t="s">
        <v>2036</v>
      </c>
    </row>
    <row r="26" spans="18:45" ht="99.6">
      <c r="R26" s="126" t="s">
        <v>1339</v>
      </c>
      <c r="S26" s="126" t="s">
        <v>1302</v>
      </c>
      <c r="T26" s="126" t="s">
        <v>924</v>
      </c>
      <c r="U26" s="602" t="s">
        <v>1936</v>
      </c>
      <c r="V26" s="126" t="s">
        <v>1772</v>
      </c>
      <c r="W26" s="126" t="s">
        <v>1773</v>
      </c>
      <c r="X26" s="126"/>
      <c r="Y26" s="126" t="s">
        <v>810</v>
      </c>
      <c r="Z26" s="126" t="s">
        <v>1235</v>
      </c>
      <c r="AA26" s="126" t="s">
        <v>1234</v>
      </c>
      <c r="AB26" s="282" t="s">
        <v>1654</v>
      </c>
      <c r="AC26" s="126" t="s">
        <v>1695</v>
      </c>
      <c r="AD26" s="126" t="s">
        <v>988</v>
      </c>
      <c r="AE26" s="126" t="s">
        <v>1774</v>
      </c>
      <c r="AF26" s="107" t="s">
        <v>1985</v>
      </c>
      <c r="AG26" s="330">
        <v>0.88</v>
      </c>
      <c r="AK26" s="126" t="s">
        <v>1286</v>
      </c>
      <c r="AL26" s="126" t="s">
        <v>1727</v>
      </c>
      <c r="AM26" s="126" t="s">
        <v>1728</v>
      </c>
      <c r="AN26" s="126" t="s">
        <v>2037</v>
      </c>
      <c r="AO26" s="282" t="s">
        <v>2038</v>
      </c>
      <c r="AP26" s="126" t="s">
        <v>2039</v>
      </c>
      <c r="AQ26" s="126" t="s">
        <v>2040</v>
      </c>
      <c r="AR26" s="331">
        <v>0.48570000000000002</v>
      </c>
      <c r="AS26" s="126" t="s">
        <v>2041</v>
      </c>
    </row>
    <row r="27" spans="18:45" ht="99.6">
      <c r="R27" s="126" t="s">
        <v>1339</v>
      </c>
      <c r="S27" s="126" t="s">
        <v>1288</v>
      </c>
      <c r="T27" s="126" t="s">
        <v>1289</v>
      </c>
      <c r="U27" s="602" t="s">
        <v>1937</v>
      </c>
      <c r="V27" s="126" t="s">
        <v>1290</v>
      </c>
      <c r="W27" s="126" t="s">
        <v>1775</v>
      </c>
      <c r="X27" s="126" t="s">
        <v>1195</v>
      </c>
      <c r="Y27" s="126" t="s">
        <v>909</v>
      </c>
      <c r="Z27" s="126" t="s">
        <v>1173</v>
      </c>
      <c r="AA27" s="126" t="s">
        <v>1174</v>
      </c>
      <c r="AB27" s="126" t="s">
        <v>2233</v>
      </c>
      <c r="AC27" s="126" t="s">
        <v>1676</v>
      </c>
      <c r="AD27" s="126" t="s">
        <v>990</v>
      </c>
      <c r="AE27" s="126" t="s">
        <v>1776</v>
      </c>
      <c r="AF27" s="107" t="s">
        <v>1986</v>
      </c>
      <c r="AG27" s="330">
        <v>0.93</v>
      </c>
      <c r="AK27" s="126" t="s">
        <v>1325</v>
      </c>
      <c r="AL27" s="126" t="s">
        <v>1326</v>
      </c>
      <c r="AM27" s="126" t="s">
        <v>1327</v>
      </c>
      <c r="AN27" s="126" t="s">
        <v>2042</v>
      </c>
      <c r="AO27" s="282" t="s">
        <v>2043</v>
      </c>
      <c r="AP27" s="126" t="s">
        <v>2044</v>
      </c>
      <c r="AQ27" s="126" t="s">
        <v>2045</v>
      </c>
      <c r="AR27" s="330">
        <v>1.04</v>
      </c>
      <c r="AS27" s="126" t="s">
        <v>2046</v>
      </c>
    </row>
    <row r="28" spans="18:45" ht="112.8">
      <c r="R28" s="126" t="s">
        <v>1339</v>
      </c>
      <c r="S28" s="126" t="s">
        <v>1307</v>
      </c>
      <c r="T28" s="126" t="s">
        <v>1308</v>
      </c>
      <c r="U28" s="602" t="s">
        <v>1938</v>
      </c>
      <c r="V28" s="126" t="s">
        <v>1309</v>
      </c>
      <c r="W28" s="126" t="s">
        <v>1777</v>
      </c>
      <c r="X28" s="126" t="s">
        <v>1196</v>
      </c>
      <c r="Y28" s="126" t="s">
        <v>1310</v>
      </c>
      <c r="Z28" s="126" t="s">
        <v>1311</v>
      </c>
      <c r="AA28" s="126" t="s">
        <v>1312</v>
      </c>
      <c r="AB28" s="126" t="s">
        <v>2233</v>
      </c>
      <c r="AC28" s="126" t="s">
        <v>1695</v>
      </c>
      <c r="AD28" s="126" t="s">
        <v>1313</v>
      </c>
      <c r="AE28" s="126" t="s">
        <v>1314</v>
      </c>
      <c r="AF28" s="126" t="s">
        <v>1966</v>
      </c>
      <c r="AG28" s="126" t="s">
        <v>932</v>
      </c>
      <c r="AK28" s="126" t="s">
        <v>1328</v>
      </c>
      <c r="AL28" s="126" t="s">
        <v>1329</v>
      </c>
      <c r="AM28" s="126" t="s">
        <v>1330</v>
      </c>
      <c r="AN28" s="126" t="s">
        <v>2047</v>
      </c>
      <c r="AO28" s="282" t="s">
        <v>2048</v>
      </c>
      <c r="AP28" s="126" t="s">
        <v>2049</v>
      </c>
      <c r="AQ28" s="126" t="s">
        <v>2050</v>
      </c>
      <c r="AR28" s="331">
        <v>1.0588</v>
      </c>
      <c r="AS28" s="126" t="s">
        <v>2051</v>
      </c>
    </row>
    <row r="29" spans="18:45" ht="99.6">
      <c r="R29" s="126" t="s">
        <v>768</v>
      </c>
      <c r="S29" s="126" t="s">
        <v>1338</v>
      </c>
      <c r="T29" s="126" t="s">
        <v>1778</v>
      </c>
      <c r="U29" s="602" t="s">
        <v>1939</v>
      </c>
      <c r="V29" s="126" t="s">
        <v>1779</v>
      </c>
      <c r="W29" s="126" t="s">
        <v>1780</v>
      </c>
      <c r="X29" s="126" t="s">
        <v>1195</v>
      </c>
      <c r="Y29" s="126" t="s">
        <v>495</v>
      </c>
      <c r="Z29" s="126" t="s">
        <v>496</v>
      </c>
      <c r="AA29" s="126" t="s">
        <v>497</v>
      </c>
      <c r="AB29" s="126" t="s">
        <v>2233</v>
      </c>
      <c r="AC29" s="126" t="s">
        <v>1679</v>
      </c>
      <c r="AD29" s="126" t="s">
        <v>988</v>
      </c>
      <c r="AE29" s="126" t="s">
        <v>1781</v>
      </c>
      <c r="AF29" s="107" t="s">
        <v>1987</v>
      </c>
      <c r="AG29" s="330">
        <v>0.9</v>
      </c>
      <c r="AK29" s="126" t="s">
        <v>1280</v>
      </c>
      <c r="AL29" s="126" t="s">
        <v>1281</v>
      </c>
      <c r="AM29" s="126" t="s">
        <v>1282</v>
      </c>
      <c r="AN29" s="126" t="s">
        <v>2052</v>
      </c>
      <c r="AO29" s="282" t="s">
        <v>2053</v>
      </c>
      <c r="AP29" s="126" t="s">
        <v>2054</v>
      </c>
      <c r="AQ29" s="126" t="s">
        <v>2055</v>
      </c>
      <c r="AR29" s="331">
        <v>4.58E-2</v>
      </c>
      <c r="AS29" s="126" t="s">
        <v>2056</v>
      </c>
    </row>
    <row r="30" spans="18:45" ht="86.4">
      <c r="R30" s="126" t="s">
        <v>768</v>
      </c>
      <c r="S30" s="126" t="s">
        <v>1212</v>
      </c>
      <c r="T30" s="126" t="s">
        <v>532</v>
      </c>
      <c r="U30" s="602" t="s">
        <v>1940</v>
      </c>
      <c r="V30" s="126" t="s">
        <v>887</v>
      </c>
      <c r="W30" s="126" t="s">
        <v>1782</v>
      </c>
      <c r="X30" s="126" t="s">
        <v>1195</v>
      </c>
      <c r="Y30" s="126" t="s">
        <v>1180</v>
      </c>
      <c r="Z30" s="126" t="s">
        <v>1181</v>
      </c>
      <c r="AA30" s="126" t="s">
        <v>1171</v>
      </c>
      <c r="AB30" s="126" t="s">
        <v>2233</v>
      </c>
      <c r="AC30" s="126" t="s">
        <v>1679</v>
      </c>
      <c r="AD30" s="126" t="s">
        <v>988</v>
      </c>
      <c r="AE30" s="126" t="s">
        <v>806</v>
      </c>
      <c r="AF30" s="107" t="s">
        <v>1988</v>
      </c>
      <c r="AG30" s="330">
        <v>0.97</v>
      </c>
      <c r="AK30" s="126" t="s">
        <v>1342</v>
      </c>
      <c r="AL30" s="126" t="s">
        <v>1343</v>
      </c>
      <c r="AM30" s="126" t="s">
        <v>1344</v>
      </c>
      <c r="AN30" s="126" t="s">
        <v>2057</v>
      </c>
      <c r="AO30" s="282" t="s">
        <v>2058</v>
      </c>
      <c r="AP30" s="126" t="s">
        <v>2059</v>
      </c>
      <c r="AQ30" s="126" t="s">
        <v>2060</v>
      </c>
      <c r="AR30" s="330">
        <v>0.92</v>
      </c>
      <c r="AS30" s="126" t="s">
        <v>2061</v>
      </c>
    </row>
    <row r="31" spans="18:45" ht="99.6">
      <c r="R31" s="126" t="s">
        <v>768</v>
      </c>
      <c r="S31" s="126" t="s">
        <v>1213</v>
      </c>
      <c r="T31" s="126" t="s">
        <v>1222</v>
      </c>
      <c r="U31" s="602" t="s">
        <v>1941</v>
      </c>
      <c r="V31" s="126" t="s">
        <v>1223</v>
      </c>
      <c r="W31" s="126" t="s">
        <v>1783</v>
      </c>
      <c r="X31" s="126" t="s">
        <v>1195</v>
      </c>
      <c r="Y31" s="126" t="s">
        <v>495</v>
      </c>
      <c r="Z31" s="126" t="s">
        <v>496</v>
      </c>
      <c r="AA31" s="126" t="s">
        <v>497</v>
      </c>
      <c r="AB31" s="126" t="s">
        <v>2233</v>
      </c>
      <c r="AC31" s="126" t="s">
        <v>1679</v>
      </c>
      <c r="AD31" s="126" t="s">
        <v>1219</v>
      </c>
      <c r="AE31" s="126" t="s">
        <v>1226</v>
      </c>
      <c r="AF31" s="107" t="s">
        <v>1989</v>
      </c>
      <c r="AG31" s="330">
        <v>0.9</v>
      </c>
      <c r="AK31" s="126" t="s">
        <v>1319</v>
      </c>
      <c r="AL31" s="126" t="s">
        <v>1737</v>
      </c>
      <c r="AM31" s="126" t="s">
        <v>1738</v>
      </c>
      <c r="AN31" s="126" t="s">
        <v>2062</v>
      </c>
      <c r="AO31" s="282" t="s">
        <v>2063</v>
      </c>
      <c r="AP31" s="126" t="s">
        <v>2064</v>
      </c>
      <c r="AQ31" s="126" t="s">
        <v>2065</v>
      </c>
      <c r="AR31" s="330">
        <v>0.94</v>
      </c>
      <c r="AS31" s="126" t="s">
        <v>2066</v>
      </c>
    </row>
    <row r="32" spans="18:45" ht="51" customHeight="1">
      <c r="R32" s="126" t="s">
        <v>768</v>
      </c>
      <c r="S32" s="126" t="s">
        <v>1214</v>
      </c>
      <c r="T32" s="126" t="s">
        <v>1224</v>
      </c>
      <c r="U32" s="602" t="s">
        <v>1942</v>
      </c>
      <c r="V32" s="126" t="s">
        <v>1225</v>
      </c>
      <c r="W32" s="126" t="s">
        <v>1784</v>
      </c>
      <c r="X32" s="126" t="s">
        <v>1195</v>
      </c>
      <c r="Y32" s="126" t="s">
        <v>909</v>
      </c>
      <c r="Z32" s="126" t="s">
        <v>1173</v>
      </c>
      <c r="AA32" s="126" t="s">
        <v>1174</v>
      </c>
      <c r="AB32" s="282" t="s">
        <v>1657</v>
      </c>
      <c r="AC32" s="126" t="s">
        <v>1679</v>
      </c>
      <c r="AD32" s="126" t="s">
        <v>988</v>
      </c>
      <c r="AE32" s="126" t="s">
        <v>1785</v>
      </c>
      <c r="AF32" s="107" t="s">
        <v>1990</v>
      </c>
      <c r="AG32" s="330">
        <v>0.92</v>
      </c>
      <c r="AK32" s="126" t="s">
        <v>2067</v>
      </c>
      <c r="AL32" s="126" t="s">
        <v>2068</v>
      </c>
      <c r="AM32" s="126" t="s">
        <v>2069</v>
      </c>
      <c r="AN32" s="126" t="s">
        <v>2070</v>
      </c>
      <c r="AO32" s="282" t="s">
        <v>2071</v>
      </c>
      <c r="AP32" s="126" t="s">
        <v>2072</v>
      </c>
      <c r="AQ32" s="126" t="s">
        <v>2073</v>
      </c>
      <c r="AR32" s="330">
        <v>0.85</v>
      </c>
      <c r="AS32" s="126" t="s">
        <v>2074</v>
      </c>
    </row>
    <row r="33" spans="18:45" ht="63.75" customHeight="1">
      <c r="R33" s="126" t="s">
        <v>768</v>
      </c>
      <c r="S33" s="126" t="s">
        <v>1211</v>
      </c>
      <c r="T33" s="126" t="s">
        <v>800</v>
      </c>
      <c r="U33" s="602" t="s">
        <v>1943</v>
      </c>
      <c r="V33" s="126" t="s">
        <v>874</v>
      </c>
      <c r="W33" s="126" t="s">
        <v>1786</v>
      </c>
      <c r="X33" s="126"/>
      <c r="Y33" s="126" t="s">
        <v>993</v>
      </c>
      <c r="Z33" s="126" t="s">
        <v>1267</v>
      </c>
      <c r="AA33" s="126" t="s">
        <v>1233</v>
      </c>
      <c r="AB33" s="282" t="s">
        <v>1657</v>
      </c>
      <c r="AC33" s="126" t="s">
        <v>1695</v>
      </c>
      <c r="AD33" s="126" t="s">
        <v>988</v>
      </c>
      <c r="AE33" s="126" t="s">
        <v>1221</v>
      </c>
      <c r="AF33" s="107" t="s">
        <v>1991</v>
      </c>
      <c r="AG33" s="126">
        <v>0.5</v>
      </c>
      <c r="AK33" s="126" t="s">
        <v>1320</v>
      </c>
      <c r="AL33" s="126" t="s">
        <v>1741</v>
      </c>
      <c r="AM33" s="126" t="s">
        <v>1742</v>
      </c>
      <c r="AN33" s="126" t="s">
        <v>2075</v>
      </c>
      <c r="AO33" s="282" t="s">
        <v>2076</v>
      </c>
      <c r="AP33" s="126" t="s">
        <v>2077</v>
      </c>
      <c r="AQ33" s="126" t="s">
        <v>2078</v>
      </c>
      <c r="AR33" s="330">
        <v>0.8</v>
      </c>
      <c r="AS33" s="126" t="s">
        <v>2079</v>
      </c>
    </row>
    <row r="34" spans="18:45" ht="112.8">
      <c r="R34" s="126" t="s">
        <v>768</v>
      </c>
      <c r="S34" s="126" t="s">
        <v>1787</v>
      </c>
      <c r="T34" s="126" t="s">
        <v>1788</v>
      </c>
      <c r="U34" s="602" t="s">
        <v>1944</v>
      </c>
      <c r="V34" s="126" t="s">
        <v>2231</v>
      </c>
      <c r="W34" s="126" t="s">
        <v>1790</v>
      </c>
      <c r="X34" s="126" t="s">
        <v>2227</v>
      </c>
      <c r="Y34" s="126" t="s">
        <v>2228</v>
      </c>
      <c r="Z34" s="126" t="s">
        <v>2229</v>
      </c>
      <c r="AA34" s="126" t="s">
        <v>2230</v>
      </c>
      <c r="AB34" s="282" t="s">
        <v>1655</v>
      </c>
      <c r="AC34" s="126" t="s">
        <v>1679</v>
      </c>
      <c r="AD34" s="126" t="s">
        <v>988</v>
      </c>
      <c r="AE34" s="126" t="s">
        <v>1791</v>
      </c>
      <c r="AF34" s="107" t="s">
        <v>2002</v>
      </c>
      <c r="AG34" s="126" t="s">
        <v>1792</v>
      </c>
      <c r="AK34" s="126" t="s">
        <v>2080</v>
      </c>
      <c r="AL34" s="126" t="s">
        <v>2081</v>
      </c>
      <c r="AM34" s="126" t="s">
        <v>2082</v>
      </c>
      <c r="AN34" s="126" t="s">
        <v>2083</v>
      </c>
      <c r="AO34" s="282" t="s">
        <v>2084</v>
      </c>
      <c r="AP34" s="126" t="s">
        <v>2085</v>
      </c>
      <c r="AQ34" s="126" t="s">
        <v>2086</v>
      </c>
      <c r="AR34" s="330">
        <v>0.75</v>
      </c>
      <c r="AS34" s="126" t="s">
        <v>2087</v>
      </c>
    </row>
    <row r="35" spans="18:45" ht="51" customHeight="1">
      <c r="R35" s="126" t="s">
        <v>1340</v>
      </c>
      <c r="S35" s="126" t="s">
        <v>1295</v>
      </c>
      <c r="T35" s="126" t="s">
        <v>1296</v>
      </c>
      <c r="U35" s="602" t="s">
        <v>1945</v>
      </c>
      <c r="V35" s="126" t="s">
        <v>1297</v>
      </c>
      <c r="W35" s="126" t="s">
        <v>1793</v>
      </c>
      <c r="X35" s="126" t="s">
        <v>1195</v>
      </c>
      <c r="Y35" s="126" t="s">
        <v>1275</v>
      </c>
      <c r="Z35" s="126" t="s">
        <v>1291</v>
      </c>
      <c r="AA35" s="126" t="s">
        <v>1292</v>
      </c>
      <c r="AB35" s="282" t="s">
        <v>1702</v>
      </c>
      <c r="AC35" s="126" t="s">
        <v>1691</v>
      </c>
      <c r="AD35" s="126" t="s">
        <v>1219</v>
      </c>
      <c r="AE35" s="126" t="s">
        <v>1298</v>
      </c>
      <c r="AF35" s="107" t="s">
        <v>2000</v>
      </c>
      <c r="AG35" s="330">
        <v>0.78</v>
      </c>
      <c r="AK35" s="126" t="s">
        <v>1355</v>
      </c>
      <c r="AL35" s="126" t="s">
        <v>1745</v>
      </c>
      <c r="AM35" s="126" t="s">
        <v>1746</v>
      </c>
      <c r="AN35" s="126" t="s">
        <v>2088</v>
      </c>
      <c r="AO35" s="282" t="s">
        <v>2089</v>
      </c>
      <c r="AP35" s="126" t="s">
        <v>2090</v>
      </c>
      <c r="AQ35" s="126" t="s">
        <v>2091</v>
      </c>
      <c r="AR35" s="330">
        <v>0.55000000000000004</v>
      </c>
      <c r="AS35" s="126" t="s">
        <v>2092</v>
      </c>
    </row>
    <row r="36" spans="18:45" ht="63.75" customHeight="1">
      <c r="R36" s="126" t="s">
        <v>1340</v>
      </c>
      <c r="S36" s="126" t="s">
        <v>1293</v>
      </c>
      <c r="T36" s="126" t="s">
        <v>813</v>
      </c>
      <c r="U36" s="602" t="s">
        <v>1946</v>
      </c>
      <c r="V36" s="126" t="s">
        <v>916</v>
      </c>
      <c r="W36" s="126" t="s">
        <v>1794</v>
      </c>
      <c r="X36" s="126" t="s">
        <v>1195</v>
      </c>
      <c r="Y36" s="126" t="s">
        <v>810</v>
      </c>
      <c r="Z36" s="126" t="s">
        <v>1235</v>
      </c>
      <c r="AA36" s="126" t="s">
        <v>1234</v>
      </c>
      <c r="AB36" s="126" t="s">
        <v>2233</v>
      </c>
      <c r="AC36" s="126" t="s">
        <v>1691</v>
      </c>
      <c r="AD36" s="126" t="s">
        <v>1219</v>
      </c>
      <c r="AE36" s="126" t="s">
        <v>1294</v>
      </c>
      <c r="AF36" s="107" t="s">
        <v>1992</v>
      </c>
      <c r="AG36" s="331">
        <v>0.81699999999999995</v>
      </c>
      <c r="AI36" s="2"/>
      <c r="AK36" s="126" t="s">
        <v>1215</v>
      </c>
      <c r="AL36" s="126" t="s">
        <v>1752</v>
      </c>
      <c r="AM36" s="126" t="s">
        <v>1753</v>
      </c>
      <c r="AN36" s="126" t="s">
        <v>2093</v>
      </c>
      <c r="AO36" s="282" t="s">
        <v>2094</v>
      </c>
      <c r="AP36" s="126" t="s">
        <v>2095</v>
      </c>
      <c r="AQ36" s="126" t="s">
        <v>2096</v>
      </c>
      <c r="AR36" s="330">
        <v>0.9</v>
      </c>
      <c r="AS36" s="126" t="s">
        <v>2097</v>
      </c>
    </row>
    <row r="37" spans="18:45" ht="38.25" customHeight="1">
      <c r="R37" s="126" t="s">
        <v>1340</v>
      </c>
      <c r="S37" s="126" t="s">
        <v>1299</v>
      </c>
      <c r="T37" s="126" t="s">
        <v>1300</v>
      </c>
      <c r="U37" s="602" t="s">
        <v>1947</v>
      </c>
      <c r="V37" s="126" t="s">
        <v>1301</v>
      </c>
      <c r="W37" s="126" t="s">
        <v>1795</v>
      </c>
      <c r="X37" s="126" t="s">
        <v>1195</v>
      </c>
      <c r="Y37" s="126" t="s">
        <v>909</v>
      </c>
      <c r="Z37" s="126" t="s">
        <v>1173</v>
      </c>
      <c r="AA37" s="126" t="s">
        <v>1174</v>
      </c>
      <c r="AB37" s="282" t="s">
        <v>1653</v>
      </c>
      <c r="AC37" s="126" t="s">
        <v>1691</v>
      </c>
      <c r="AD37" s="126" t="s">
        <v>988</v>
      </c>
      <c r="AE37" s="126" t="s">
        <v>1796</v>
      </c>
      <c r="AF37" s="107" t="s">
        <v>1993</v>
      </c>
      <c r="AG37" s="330">
        <v>0.94</v>
      </c>
      <c r="AK37" s="126" t="s">
        <v>1322</v>
      </c>
      <c r="AL37" s="126" t="s">
        <v>1757</v>
      </c>
      <c r="AM37" s="126" t="s">
        <v>1758</v>
      </c>
      <c r="AN37" s="126" t="s">
        <v>2098</v>
      </c>
      <c r="AO37" s="282" t="s">
        <v>2099</v>
      </c>
      <c r="AP37" s="126" t="s">
        <v>2100</v>
      </c>
      <c r="AQ37" s="126" t="s">
        <v>2065</v>
      </c>
      <c r="AR37" s="330">
        <v>0.94</v>
      </c>
      <c r="AS37" s="126" t="s">
        <v>2066</v>
      </c>
    </row>
    <row r="38" spans="18:45" ht="112.8">
      <c r="R38" s="126" t="s">
        <v>1340</v>
      </c>
      <c r="S38" s="126" t="s">
        <v>1216</v>
      </c>
      <c r="T38" s="126" t="s">
        <v>965</v>
      </c>
      <c r="U38" s="602" t="s">
        <v>1948</v>
      </c>
      <c r="V38" s="126" t="s">
        <v>1797</v>
      </c>
      <c r="W38" s="126" t="s">
        <v>1798</v>
      </c>
      <c r="X38" s="126" t="s">
        <v>1195</v>
      </c>
      <c r="Y38" s="126" t="s">
        <v>810</v>
      </c>
      <c r="Z38" s="126" t="s">
        <v>1347</v>
      </c>
      <c r="AA38" s="126" t="s">
        <v>1292</v>
      </c>
      <c r="AB38" s="282" t="s">
        <v>1702</v>
      </c>
      <c r="AC38" s="126" t="s">
        <v>1703</v>
      </c>
      <c r="AD38" s="126" t="s">
        <v>1219</v>
      </c>
      <c r="AE38" s="126" t="s">
        <v>1799</v>
      </c>
      <c r="AF38" s="107" t="s">
        <v>1994</v>
      </c>
      <c r="AG38" s="330">
        <v>0.84</v>
      </c>
      <c r="AK38" s="126" t="s">
        <v>1276</v>
      </c>
      <c r="AL38" s="126" t="s">
        <v>1277</v>
      </c>
      <c r="AM38" s="126" t="s">
        <v>1278</v>
      </c>
      <c r="AN38" s="126" t="s">
        <v>2101</v>
      </c>
      <c r="AO38" s="282" t="s">
        <v>2102</v>
      </c>
      <c r="AP38" s="126" t="s">
        <v>2103</v>
      </c>
      <c r="AQ38" s="126" t="s">
        <v>2104</v>
      </c>
      <c r="AR38" s="330">
        <v>0.95</v>
      </c>
      <c r="AS38" s="126" t="s">
        <v>2105</v>
      </c>
    </row>
    <row r="39" spans="18:45" ht="38.25" customHeight="1">
      <c r="R39" s="126" t="s">
        <v>1340</v>
      </c>
      <c r="S39" s="126" t="s">
        <v>1356</v>
      </c>
      <c r="T39" s="126" t="s">
        <v>1800</v>
      </c>
      <c r="U39" s="602" t="s">
        <v>1949</v>
      </c>
      <c r="V39" s="126" t="s">
        <v>1801</v>
      </c>
      <c r="W39" s="126" t="s">
        <v>1802</v>
      </c>
      <c r="X39" s="126" t="s">
        <v>1195</v>
      </c>
      <c r="Y39" s="126" t="s">
        <v>1272</v>
      </c>
      <c r="Z39" s="126" t="s">
        <v>1271</v>
      </c>
      <c r="AA39" s="126" t="s">
        <v>1270</v>
      </c>
      <c r="AB39" s="126" t="s">
        <v>2233</v>
      </c>
      <c r="AC39" s="126" t="s">
        <v>1703</v>
      </c>
      <c r="AD39" s="126" t="s">
        <v>1219</v>
      </c>
      <c r="AE39" s="126" t="s">
        <v>1803</v>
      </c>
      <c r="AF39" s="107" t="s">
        <v>1995</v>
      </c>
      <c r="AG39" s="330">
        <v>0.2</v>
      </c>
      <c r="AK39" s="126" t="s">
        <v>1303</v>
      </c>
      <c r="AL39" s="126" t="s">
        <v>1304</v>
      </c>
      <c r="AM39" s="126" t="s">
        <v>1305</v>
      </c>
      <c r="AN39" s="126" t="s">
        <v>2106</v>
      </c>
      <c r="AO39" s="282" t="s">
        <v>2107</v>
      </c>
      <c r="AP39" s="126" t="s">
        <v>2108</v>
      </c>
      <c r="AQ39" s="126" t="s">
        <v>2109</v>
      </c>
      <c r="AR39" s="331">
        <v>0.90480000000000005</v>
      </c>
      <c r="AS39" s="126" t="s">
        <v>2097</v>
      </c>
    </row>
    <row r="40" spans="18:45" ht="38.25" customHeight="1">
      <c r="R40" s="126" t="s">
        <v>1340</v>
      </c>
      <c r="S40" s="126" t="s">
        <v>1357</v>
      </c>
      <c r="T40" s="126" t="s">
        <v>1358</v>
      </c>
      <c r="U40" s="602" t="s">
        <v>1950</v>
      </c>
      <c r="V40" s="126" t="s">
        <v>1359</v>
      </c>
      <c r="W40" s="126" t="s">
        <v>1804</v>
      </c>
      <c r="X40" s="126" t="s">
        <v>1195</v>
      </c>
      <c r="Y40" s="126" t="s">
        <v>1272</v>
      </c>
      <c r="Z40" s="126" t="s">
        <v>1271</v>
      </c>
      <c r="AA40" s="126" t="s">
        <v>1270</v>
      </c>
      <c r="AB40" s="126" t="s">
        <v>2233</v>
      </c>
      <c r="AC40" s="126" t="s">
        <v>1703</v>
      </c>
      <c r="AD40" s="126" t="s">
        <v>1219</v>
      </c>
      <c r="AE40" s="126" t="s">
        <v>1805</v>
      </c>
      <c r="AF40" s="107" t="s">
        <v>1996</v>
      </c>
      <c r="AG40" s="331">
        <v>0.22500000000000001</v>
      </c>
      <c r="AK40" s="126" t="s">
        <v>1321</v>
      </c>
      <c r="AL40" s="126" t="s">
        <v>1764</v>
      </c>
      <c r="AM40" s="126" t="s">
        <v>1765</v>
      </c>
      <c r="AN40" s="126" t="s">
        <v>2110</v>
      </c>
      <c r="AO40" s="282" t="s">
        <v>2111</v>
      </c>
      <c r="AP40" s="126" t="s">
        <v>2112</v>
      </c>
      <c r="AQ40" s="126" t="s">
        <v>2113</v>
      </c>
      <c r="AR40" s="330">
        <v>0.7</v>
      </c>
      <c r="AS40" s="126" t="s">
        <v>2114</v>
      </c>
    </row>
    <row r="41" spans="18:45" ht="51" customHeight="1">
      <c r="R41" s="126" t="s">
        <v>1806</v>
      </c>
      <c r="S41" s="126" t="s">
        <v>1364</v>
      </c>
      <c r="T41" s="126" t="s">
        <v>1365</v>
      </c>
      <c r="U41" s="602" t="s">
        <v>1951</v>
      </c>
      <c r="V41" s="126" t="s">
        <v>1807</v>
      </c>
      <c r="W41" s="126" t="s">
        <v>1808</v>
      </c>
      <c r="X41" s="126" t="s">
        <v>1195</v>
      </c>
      <c r="Y41" s="126" t="s">
        <v>495</v>
      </c>
      <c r="Z41" s="126" t="s">
        <v>1354</v>
      </c>
      <c r="AA41" s="126" t="s">
        <v>1234</v>
      </c>
      <c r="AB41" s="282" t="s">
        <v>1645</v>
      </c>
      <c r="AC41" s="126" t="s">
        <v>1685</v>
      </c>
      <c r="AD41" s="126" t="s">
        <v>1219</v>
      </c>
      <c r="AE41" s="126" t="s">
        <v>1809</v>
      </c>
      <c r="AF41" s="107" t="s">
        <v>2001</v>
      </c>
      <c r="AG41" s="330">
        <v>0.9</v>
      </c>
      <c r="AK41" s="126" t="s">
        <v>1348</v>
      </c>
      <c r="AL41" s="126" t="s">
        <v>1349</v>
      </c>
      <c r="AM41" s="126" t="s">
        <v>1350</v>
      </c>
      <c r="AN41" s="126" t="s">
        <v>2115</v>
      </c>
      <c r="AO41" s="282" t="s">
        <v>2116</v>
      </c>
      <c r="AP41" s="126" t="s">
        <v>2117</v>
      </c>
      <c r="AQ41" s="126" t="s">
        <v>2118</v>
      </c>
      <c r="AR41" s="330">
        <v>0.78</v>
      </c>
      <c r="AS41" s="126" t="s">
        <v>2119</v>
      </c>
    </row>
    <row r="42" spans="18:45" ht="112.8">
      <c r="R42" s="126" t="s">
        <v>1806</v>
      </c>
      <c r="S42" s="126" t="s">
        <v>1366</v>
      </c>
      <c r="T42" s="126" t="s">
        <v>1367</v>
      </c>
      <c r="U42" s="602" t="s">
        <v>1952</v>
      </c>
      <c r="V42" s="126" t="s">
        <v>1810</v>
      </c>
      <c r="W42" s="126" t="s">
        <v>1811</v>
      </c>
      <c r="X42" s="126" t="s">
        <v>1195</v>
      </c>
      <c r="Y42" s="126" t="s">
        <v>909</v>
      </c>
      <c r="Z42" s="126" t="s">
        <v>1345</v>
      </c>
      <c r="AA42" s="126" t="s">
        <v>1186</v>
      </c>
      <c r="AB42" s="282" t="s">
        <v>1645</v>
      </c>
      <c r="AC42" s="126" t="s">
        <v>1685</v>
      </c>
      <c r="AD42" s="126" t="s">
        <v>1219</v>
      </c>
      <c r="AE42" s="126" t="s">
        <v>1812</v>
      </c>
      <c r="AF42" s="107" t="s">
        <v>1997</v>
      </c>
      <c r="AG42" s="330">
        <v>0.95</v>
      </c>
      <c r="AK42" s="126" t="s">
        <v>2120</v>
      </c>
      <c r="AL42" s="126" t="s">
        <v>2121</v>
      </c>
      <c r="AM42" s="126" t="s">
        <v>2122</v>
      </c>
      <c r="AN42" s="126" t="s">
        <v>2123</v>
      </c>
      <c r="AO42" s="282" t="s">
        <v>2124</v>
      </c>
      <c r="AP42" s="126" t="s">
        <v>2125</v>
      </c>
      <c r="AQ42" s="126" t="s">
        <v>2126</v>
      </c>
      <c r="AR42" s="126" t="s">
        <v>2127</v>
      </c>
      <c r="AS42" s="126" t="s">
        <v>2128</v>
      </c>
    </row>
    <row r="43" spans="18:45" ht="51" customHeight="1">
      <c r="R43" s="126" t="s">
        <v>1806</v>
      </c>
      <c r="S43" s="126" t="s">
        <v>1368</v>
      </c>
      <c r="T43" s="126" t="s">
        <v>1369</v>
      </c>
      <c r="U43" s="602" t="s">
        <v>1953</v>
      </c>
      <c r="V43" s="126" t="s">
        <v>1813</v>
      </c>
      <c r="W43" s="126" t="s">
        <v>1814</v>
      </c>
      <c r="X43" s="126" t="s">
        <v>1195</v>
      </c>
      <c r="Y43" s="126" t="s">
        <v>909</v>
      </c>
      <c r="Z43" s="126" t="s">
        <v>1173</v>
      </c>
      <c r="AA43" s="126" t="s">
        <v>1174</v>
      </c>
      <c r="AB43" s="126" t="s">
        <v>2233</v>
      </c>
      <c r="AC43" s="126" t="s">
        <v>1685</v>
      </c>
      <c r="AD43" s="126" t="s">
        <v>988</v>
      </c>
      <c r="AE43" s="126" t="s">
        <v>1815</v>
      </c>
      <c r="AF43" s="107" t="s">
        <v>1998</v>
      </c>
      <c r="AG43" s="330">
        <v>0.96</v>
      </c>
      <c r="AK43" s="126" t="s">
        <v>1315</v>
      </c>
      <c r="AL43" s="126" t="s">
        <v>1316</v>
      </c>
      <c r="AM43" s="126" t="s">
        <v>1317</v>
      </c>
      <c r="AN43" s="126" t="s">
        <v>2129</v>
      </c>
      <c r="AO43" s="282" t="s">
        <v>2130</v>
      </c>
      <c r="AP43" s="126" t="s">
        <v>2131</v>
      </c>
      <c r="AQ43" s="126" t="s">
        <v>2096</v>
      </c>
      <c r="AR43" s="330">
        <v>0.9</v>
      </c>
      <c r="AS43" s="126" t="s">
        <v>2097</v>
      </c>
    </row>
    <row r="44" spans="18:45" ht="38.25" customHeight="1">
      <c r="R44" s="126" t="s">
        <v>1806</v>
      </c>
      <c r="S44" s="126" t="s">
        <v>1370</v>
      </c>
      <c r="T44" s="126" t="s">
        <v>1371</v>
      </c>
      <c r="U44" s="603" t="s">
        <v>1954</v>
      </c>
      <c r="V44" s="126" t="s">
        <v>1816</v>
      </c>
      <c r="W44" s="126" t="s">
        <v>1817</v>
      </c>
      <c r="X44" s="126" t="s">
        <v>1195</v>
      </c>
      <c r="Y44" s="126" t="s">
        <v>1372</v>
      </c>
      <c r="Z44" s="126" t="s">
        <v>1373</v>
      </c>
      <c r="AA44" s="126" t="s">
        <v>1374</v>
      </c>
      <c r="AB44" s="126" t="s">
        <v>2233</v>
      </c>
      <c r="AC44" s="126" t="s">
        <v>1685</v>
      </c>
      <c r="AD44" s="126" t="s">
        <v>988</v>
      </c>
      <c r="AE44" s="126" t="s">
        <v>1818</v>
      </c>
      <c r="AF44" s="107" t="s">
        <v>1999</v>
      </c>
      <c r="AG44" s="330">
        <v>0.04</v>
      </c>
      <c r="AK44" s="126" t="s">
        <v>2132</v>
      </c>
      <c r="AL44" s="126" t="s">
        <v>2133</v>
      </c>
      <c r="AM44" s="126" t="s">
        <v>2134</v>
      </c>
      <c r="AN44" s="126" t="s">
        <v>2135</v>
      </c>
      <c r="AO44" s="282" t="s">
        <v>2136</v>
      </c>
      <c r="AP44" s="126" t="s">
        <v>2137</v>
      </c>
      <c r="AQ44" s="126" t="s">
        <v>2096</v>
      </c>
      <c r="AR44" s="330">
        <v>0.9</v>
      </c>
      <c r="AS44" s="126" t="s">
        <v>2138</v>
      </c>
    </row>
    <row r="45" spans="18:45" ht="38.25" customHeight="1">
      <c r="R45" s="107" t="s">
        <v>1333</v>
      </c>
      <c r="S45" s="107" t="s">
        <v>2423</v>
      </c>
      <c r="T45" s="107" t="s">
        <v>2424</v>
      </c>
      <c r="U45" s="703" t="s">
        <v>2425</v>
      </c>
      <c r="V45" s="703" t="s">
        <v>2426</v>
      </c>
      <c r="W45" s="2" t="s">
        <v>2427</v>
      </c>
      <c r="X45" s="53" t="s">
        <v>1195</v>
      </c>
      <c r="Y45" s="53" t="s">
        <v>992</v>
      </c>
      <c r="Z45" s="53" t="s">
        <v>2428</v>
      </c>
      <c r="AA45" s="53" t="s">
        <v>1167</v>
      </c>
      <c r="AB45" s="2" t="s">
        <v>1659</v>
      </c>
      <c r="AC45" s="126" t="s">
        <v>1660</v>
      </c>
      <c r="AD45" s="2" t="s">
        <v>988</v>
      </c>
      <c r="AE45" s="2" t="s">
        <v>2429</v>
      </c>
      <c r="AF45" s="2" t="s">
        <v>2430</v>
      </c>
      <c r="AG45" s="704">
        <v>0.05</v>
      </c>
      <c r="AK45" s="126" t="s">
        <v>1360</v>
      </c>
      <c r="AL45" s="126" t="s">
        <v>1361</v>
      </c>
      <c r="AM45" s="126" t="s">
        <v>1362</v>
      </c>
      <c r="AN45" s="126" t="s">
        <v>2139</v>
      </c>
      <c r="AO45" s="282" t="s">
        <v>2140</v>
      </c>
      <c r="AP45" s="126" t="s">
        <v>2141</v>
      </c>
      <c r="AQ45" s="126" t="s">
        <v>2060</v>
      </c>
      <c r="AR45" s="330">
        <v>0.92</v>
      </c>
      <c r="AS45" s="126" t="s">
        <v>2061</v>
      </c>
    </row>
    <row r="46" spans="18:45" ht="38.25" customHeight="1">
      <c r="AK46" s="126" t="s">
        <v>1302</v>
      </c>
      <c r="AL46" s="126" t="s">
        <v>924</v>
      </c>
      <c r="AM46" s="126" t="s">
        <v>1772</v>
      </c>
      <c r="AN46" s="126" t="s">
        <v>2142</v>
      </c>
      <c r="AO46" s="282" t="s">
        <v>2143</v>
      </c>
      <c r="AP46" s="126" t="s">
        <v>2144</v>
      </c>
      <c r="AQ46" s="126" t="s">
        <v>2145</v>
      </c>
      <c r="AR46" s="331">
        <v>0.88200000000000001</v>
      </c>
      <c r="AS46" s="126" t="s">
        <v>2146</v>
      </c>
    </row>
    <row r="47" spans="18:45" ht="51" customHeight="1">
      <c r="AK47" s="126" t="s">
        <v>1288</v>
      </c>
      <c r="AL47" s="126" t="s">
        <v>1289</v>
      </c>
      <c r="AM47" s="126" t="s">
        <v>1290</v>
      </c>
      <c r="AN47" s="126" t="s">
        <v>2147</v>
      </c>
      <c r="AO47" s="282" t="s">
        <v>2148</v>
      </c>
      <c r="AP47" s="126" t="s">
        <v>2149</v>
      </c>
      <c r="AQ47" s="126" t="s">
        <v>2150</v>
      </c>
      <c r="AR47" s="331">
        <v>0.93330000000000002</v>
      </c>
      <c r="AS47" s="126" t="s">
        <v>2151</v>
      </c>
    </row>
    <row r="48" spans="18:45" ht="51" customHeight="1">
      <c r="AK48" s="126" t="s">
        <v>1307</v>
      </c>
      <c r="AL48" s="126" t="s">
        <v>1308</v>
      </c>
      <c r="AM48" s="126" t="s">
        <v>1309</v>
      </c>
      <c r="AN48" s="126" t="s">
        <v>2152</v>
      </c>
      <c r="AO48" s="282" t="s">
        <v>2153</v>
      </c>
      <c r="AP48" s="126" t="s">
        <v>2154</v>
      </c>
      <c r="AQ48" s="126" t="s">
        <v>2155</v>
      </c>
      <c r="AR48" s="126" t="s">
        <v>932</v>
      </c>
      <c r="AS48" s="126" t="s">
        <v>2156</v>
      </c>
    </row>
    <row r="49" spans="37:45" ht="51" customHeight="1">
      <c r="AK49" s="126" t="s">
        <v>1338</v>
      </c>
      <c r="AL49" s="126" t="s">
        <v>1778</v>
      </c>
      <c r="AM49" s="126" t="s">
        <v>1779</v>
      </c>
      <c r="AN49" s="126" t="s">
        <v>2157</v>
      </c>
      <c r="AO49" s="282" t="s">
        <v>2158</v>
      </c>
      <c r="AP49" s="126" t="s">
        <v>2159</v>
      </c>
      <c r="AQ49" s="126" t="s">
        <v>2096</v>
      </c>
      <c r="AR49" s="330">
        <v>0.9</v>
      </c>
      <c r="AS49" s="126" t="s">
        <v>2097</v>
      </c>
    </row>
    <row r="50" spans="37:45" ht="51" customHeight="1">
      <c r="AK50" s="126" t="s">
        <v>1212</v>
      </c>
      <c r="AL50" s="126" t="s">
        <v>532</v>
      </c>
      <c r="AM50" s="126" t="s">
        <v>887</v>
      </c>
      <c r="AN50" s="126" t="s">
        <v>2160</v>
      </c>
      <c r="AO50" s="282" t="s">
        <v>2161</v>
      </c>
      <c r="AP50" s="126" t="s">
        <v>2162</v>
      </c>
      <c r="AQ50" s="126" t="s">
        <v>2163</v>
      </c>
      <c r="AR50" s="330">
        <v>0.97</v>
      </c>
      <c r="AS50" s="126" t="s">
        <v>2164</v>
      </c>
    </row>
    <row r="51" spans="37:45" ht="76.5" customHeight="1">
      <c r="AK51" s="126" t="s">
        <v>1213</v>
      </c>
      <c r="AL51" s="126" t="s">
        <v>1222</v>
      </c>
      <c r="AM51" s="126" t="s">
        <v>1223</v>
      </c>
      <c r="AN51" s="126" t="s">
        <v>2165</v>
      </c>
      <c r="AO51" s="282" t="s">
        <v>2166</v>
      </c>
      <c r="AP51" s="126" t="s">
        <v>2167</v>
      </c>
      <c r="AQ51" s="126" t="s">
        <v>2168</v>
      </c>
      <c r="AR51" s="331">
        <v>0.90380000000000005</v>
      </c>
      <c r="AS51" s="126" t="s">
        <v>2097</v>
      </c>
    </row>
    <row r="52" spans="37:45" ht="51" customHeight="1">
      <c r="AK52" s="126" t="s">
        <v>1214</v>
      </c>
      <c r="AL52" s="126" t="s">
        <v>1224</v>
      </c>
      <c r="AM52" s="126" t="s">
        <v>1225</v>
      </c>
      <c r="AN52" s="126" t="s">
        <v>2169</v>
      </c>
      <c r="AO52" s="282" t="s">
        <v>2170</v>
      </c>
      <c r="AP52" s="126" t="s">
        <v>2171</v>
      </c>
      <c r="AQ52" s="126" t="s">
        <v>2172</v>
      </c>
      <c r="AR52" s="331">
        <v>0.92310000000000003</v>
      </c>
      <c r="AS52" s="126" t="s">
        <v>2061</v>
      </c>
    </row>
    <row r="53" spans="37:45" ht="63.75" customHeight="1">
      <c r="AK53" s="126" t="s">
        <v>1211</v>
      </c>
      <c r="AL53" s="126" t="s">
        <v>800</v>
      </c>
      <c r="AM53" s="126" t="s">
        <v>874</v>
      </c>
      <c r="AN53" s="126" t="s">
        <v>2173</v>
      </c>
      <c r="AO53" s="282" t="s">
        <v>2174</v>
      </c>
      <c r="AP53" s="126" t="s">
        <v>2175</v>
      </c>
      <c r="AQ53" s="126" t="s">
        <v>2176</v>
      </c>
      <c r="AR53" s="126">
        <v>0.5</v>
      </c>
      <c r="AS53" s="126" t="s">
        <v>2177</v>
      </c>
    </row>
    <row r="54" spans="37:45" ht="63.75" customHeight="1">
      <c r="AK54" s="126" t="s">
        <v>1787</v>
      </c>
      <c r="AL54" s="126" t="s">
        <v>1788</v>
      </c>
      <c r="AM54" s="126" t="s">
        <v>1789</v>
      </c>
      <c r="AN54" s="126" t="s">
        <v>2178</v>
      </c>
      <c r="AO54" s="282" t="s">
        <v>2179</v>
      </c>
      <c r="AP54" s="126" t="s">
        <v>2180</v>
      </c>
      <c r="AQ54" s="126" t="s">
        <v>2181</v>
      </c>
      <c r="AR54" s="646">
        <v>160000</v>
      </c>
      <c r="AS54" s="126" t="s">
        <v>2182</v>
      </c>
    </row>
    <row r="55" spans="37:45" ht="51" customHeight="1">
      <c r="AK55" s="126" t="s">
        <v>1295</v>
      </c>
      <c r="AL55" s="126" t="s">
        <v>1296</v>
      </c>
      <c r="AM55" s="126" t="s">
        <v>1297</v>
      </c>
      <c r="AN55" s="126" t="s">
        <v>2183</v>
      </c>
      <c r="AO55" s="282" t="s">
        <v>2184</v>
      </c>
      <c r="AP55" s="126" t="s">
        <v>2185</v>
      </c>
      <c r="AQ55" s="126" t="s">
        <v>2118</v>
      </c>
      <c r="AR55" s="330">
        <v>0.78</v>
      </c>
      <c r="AS55" s="126" t="s">
        <v>2119</v>
      </c>
    </row>
    <row r="56" spans="37:45" ht="38.25" customHeight="1">
      <c r="AK56" s="126" t="s">
        <v>1293</v>
      </c>
      <c r="AL56" s="126" t="s">
        <v>813</v>
      </c>
      <c r="AM56" s="126" t="s">
        <v>2186</v>
      </c>
      <c r="AN56" s="126" t="s">
        <v>2187</v>
      </c>
      <c r="AO56" s="282" t="s">
        <v>2188</v>
      </c>
      <c r="AP56" s="126" t="s">
        <v>2189</v>
      </c>
      <c r="AQ56" s="126" t="s">
        <v>2190</v>
      </c>
      <c r="AR56" s="331">
        <v>0.81699999999999995</v>
      </c>
      <c r="AS56" s="126" t="s">
        <v>2191</v>
      </c>
    </row>
    <row r="57" spans="37:45" ht="38.25" customHeight="1">
      <c r="AK57" s="126" t="s">
        <v>1299</v>
      </c>
      <c r="AL57" s="126" t="s">
        <v>1300</v>
      </c>
      <c r="AM57" s="126" t="s">
        <v>1301</v>
      </c>
      <c r="AN57" s="126" t="s">
        <v>2192</v>
      </c>
      <c r="AO57" s="282" t="s">
        <v>2193</v>
      </c>
      <c r="AP57" s="126" t="s">
        <v>2194</v>
      </c>
      <c r="AQ57" s="126" t="s">
        <v>2065</v>
      </c>
      <c r="AR57" s="330">
        <v>0.94</v>
      </c>
      <c r="AS57" s="126" t="s">
        <v>2066</v>
      </c>
    </row>
    <row r="58" spans="37:45" ht="38.25" customHeight="1">
      <c r="AK58" s="126" t="s">
        <v>1216</v>
      </c>
      <c r="AL58" s="126" t="s">
        <v>965</v>
      </c>
      <c r="AM58" s="126" t="s">
        <v>1797</v>
      </c>
      <c r="AN58" s="126" t="s">
        <v>2195</v>
      </c>
      <c r="AO58" s="282" t="s">
        <v>2196</v>
      </c>
      <c r="AP58" s="126" t="s">
        <v>2197</v>
      </c>
      <c r="AQ58" s="126" t="s">
        <v>2198</v>
      </c>
      <c r="AR58" s="330">
        <v>0.84</v>
      </c>
      <c r="AS58" s="126" t="s">
        <v>2199</v>
      </c>
    </row>
    <row r="59" spans="37:45" ht="51" customHeight="1">
      <c r="AK59" s="126" t="s">
        <v>1356</v>
      </c>
      <c r="AL59" s="126" t="s">
        <v>1800</v>
      </c>
      <c r="AM59" s="126" t="s">
        <v>1801</v>
      </c>
      <c r="AN59" s="126" t="s">
        <v>2200</v>
      </c>
      <c r="AO59" s="282" t="s">
        <v>2201</v>
      </c>
      <c r="AP59" s="126" t="s">
        <v>2202</v>
      </c>
      <c r="AQ59" s="126" t="s">
        <v>2203</v>
      </c>
      <c r="AR59" s="330">
        <v>0.2</v>
      </c>
      <c r="AS59" s="126" t="s">
        <v>2204</v>
      </c>
    </row>
    <row r="60" spans="37:45" ht="51" customHeight="1">
      <c r="AK60" s="126" t="s">
        <v>1357</v>
      </c>
      <c r="AL60" s="126" t="s">
        <v>1358</v>
      </c>
      <c r="AM60" s="126" t="s">
        <v>1359</v>
      </c>
      <c r="AN60" s="126" t="s">
        <v>2205</v>
      </c>
      <c r="AO60" s="282" t="s">
        <v>2206</v>
      </c>
      <c r="AP60" s="126" t="s">
        <v>2207</v>
      </c>
      <c r="AQ60" s="126" t="s">
        <v>2208</v>
      </c>
      <c r="AR60" s="331">
        <v>0.22500000000000001</v>
      </c>
      <c r="AS60" s="126" t="s">
        <v>2209</v>
      </c>
    </row>
    <row r="61" spans="37:45" ht="51" customHeight="1">
      <c r="AK61" s="126" t="s">
        <v>1364</v>
      </c>
      <c r="AL61" s="126" t="s">
        <v>1365</v>
      </c>
      <c r="AM61" s="126" t="s">
        <v>1807</v>
      </c>
      <c r="AN61" s="126" t="s">
        <v>2210</v>
      </c>
      <c r="AO61" s="282" t="s">
        <v>2211</v>
      </c>
      <c r="AP61" s="126" t="s">
        <v>2212</v>
      </c>
      <c r="AQ61" s="126" t="s">
        <v>2213</v>
      </c>
      <c r="AR61" s="330">
        <v>0.9</v>
      </c>
      <c r="AS61" s="126" t="s">
        <v>2097</v>
      </c>
    </row>
    <row r="62" spans="37:45" ht="38.25" customHeight="1">
      <c r="AK62" s="126" t="s">
        <v>1366</v>
      </c>
      <c r="AL62" s="126" t="s">
        <v>1367</v>
      </c>
      <c r="AM62" s="126" t="s">
        <v>1810</v>
      </c>
      <c r="AN62" s="126" t="s">
        <v>2214</v>
      </c>
      <c r="AO62" s="282" t="s">
        <v>2215</v>
      </c>
      <c r="AP62" s="126" t="s">
        <v>2216</v>
      </c>
      <c r="AQ62" s="126" t="s">
        <v>2217</v>
      </c>
      <c r="AR62" s="330">
        <v>0.95</v>
      </c>
      <c r="AS62" s="126" t="s">
        <v>2105</v>
      </c>
    </row>
    <row r="63" spans="37:45" ht="51" customHeight="1">
      <c r="AK63" s="126" t="s">
        <v>1368</v>
      </c>
      <c r="AL63" s="126" t="s">
        <v>1369</v>
      </c>
      <c r="AM63" s="126" t="s">
        <v>1813</v>
      </c>
      <c r="AN63" s="126" t="s">
        <v>2218</v>
      </c>
      <c r="AO63" s="282" t="s">
        <v>2219</v>
      </c>
      <c r="AP63" s="126" t="s">
        <v>2220</v>
      </c>
      <c r="AQ63" s="126" t="s">
        <v>2221</v>
      </c>
      <c r="AR63" s="331">
        <v>0.95740000000000003</v>
      </c>
      <c r="AS63" s="126" t="s">
        <v>2222</v>
      </c>
    </row>
    <row r="64" spans="37:45" ht="51" customHeight="1">
      <c r="AK64" s="126" t="s">
        <v>1370</v>
      </c>
      <c r="AL64" s="126" t="s">
        <v>1371</v>
      </c>
      <c r="AM64" s="126" t="s">
        <v>1816</v>
      </c>
      <c r="AN64" s="126" t="s">
        <v>2223</v>
      </c>
      <c r="AO64" s="282" t="s">
        <v>2224</v>
      </c>
      <c r="AP64" s="126" t="s">
        <v>2225</v>
      </c>
      <c r="AQ64" s="126" t="s">
        <v>2226</v>
      </c>
      <c r="AR64" s="330">
        <v>0.04</v>
      </c>
      <c r="AS64" s="126" t="s">
        <v>2036</v>
      </c>
    </row>
    <row r="65" ht="63.75" customHeight="1"/>
    <row r="66" ht="38.25" customHeight="1"/>
    <row r="67" ht="51" customHeight="1"/>
    <row r="68" ht="51" customHeight="1"/>
    <row r="69" ht="38.25" customHeight="1"/>
    <row r="70" ht="63.75" customHeight="1"/>
    <row r="71" ht="51" customHeight="1"/>
    <row r="72" ht="38.25" customHeight="1"/>
    <row r="74" ht="38.25" customHeight="1"/>
    <row r="75" ht="51" customHeight="1"/>
    <row r="76" ht="38.25" customHeight="1"/>
    <row r="77" ht="63.75" customHeight="1"/>
    <row r="78" ht="38.25" customHeight="1"/>
    <row r="79" ht="38.25" customHeight="1"/>
    <row r="80" ht="38.25" customHeight="1"/>
    <row r="81" ht="38.25" customHeight="1"/>
    <row r="82" ht="38.25" customHeight="1"/>
    <row r="83" ht="38.25" customHeight="1"/>
    <row r="84" ht="63.75" customHeight="1"/>
    <row r="85" ht="38.25" customHeight="1"/>
    <row r="86" ht="21" customHeight="1"/>
    <row r="87" ht="39.75" customHeight="1"/>
    <row r="95" ht="21" customHeight="1"/>
  </sheetData>
  <mergeCells count="1">
    <mergeCell ref="A3:M3"/>
  </mergeCells>
  <phoneticPr fontId="95" type="noConversion"/>
  <dataValidations count="1">
    <dataValidation type="list" allowBlank="1" showInputMessage="1" showErrorMessage="1" sqref="D6:D16" xr:uid="{BB689BFE-6868-4C30-9C84-DBA4AF7BECCA}">
      <formula1>"Tier 1, Tier 2, Tier 3"</formula1>
    </dataValidation>
  </dataValidations>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903E6-D093-4A23-8CDA-D7C6A71F876D}">
  <sheetPr codeName="Sheet23">
    <tabColor rgb="FF7030A0"/>
  </sheetPr>
  <dimension ref="B4:B70"/>
  <sheetViews>
    <sheetView showGridLines="0" topLeftCell="A48" workbookViewId="0">
      <selection activeCell="B5" sqref="B5"/>
    </sheetView>
  </sheetViews>
  <sheetFormatPr defaultColWidth="8.88671875" defaultRowHeight="13.2"/>
  <cols>
    <col min="1" max="1" width="8.88671875" style="2" customWidth="1"/>
    <col min="2" max="2" width="108.44140625" style="2" customWidth="1"/>
    <col min="3" max="16384" width="8.88671875" style="2"/>
  </cols>
  <sheetData>
    <row r="4" spans="2:2" ht="55.05" customHeight="1">
      <c r="B4" s="669" t="s">
        <v>2288</v>
      </c>
    </row>
    <row r="5" spans="2:2" ht="15">
      <c r="B5" s="670" t="s">
        <v>2289</v>
      </c>
    </row>
    <row r="6" spans="2:2">
      <c r="B6" s="671"/>
    </row>
    <row r="7" spans="2:2">
      <c r="B7" s="671"/>
    </row>
    <row r="8" spans="2:2" ht="15.6">
      <c r="B8" s="672" t="s">
        <v>2350</v>
      </c>
    </row>
    <row r="9" spans="2:2" ht="15.6">
      <c r="B9" s="673" t="s">
        <v>2351</v>
      </c>
    </row>
    <row r="10" spans="2:2" ht="15">
      <c r="B10" s="674" t="s">
        <v>2352</v>
      </c>
    </row>
    <row r="11" spans="2:2" ht="15">
      <c r="B11" s="673" t="s">
        <v>2353</v>
      </c>
    </row>
    <row r="12" spans="2:2" ht="15">
      <c r="B12" s="673" t="s">
        <v>2354</v>
      </c>
    </row>
    <row r="13" spans="2:2">
      <c r="B13" s="671"/>
    </row>
    <row r="14" spans="2:2">
      <c r="B14" s="671"/>
    </row>
    <row r="15" spans="2:2" ht="15.6">
      <c r="B15" s="672" t="s">
        <v>2355</v>
      </c>
    </row>
    <row r="16" spans="2:2" ht="15.6">
      <c r="B16" s="673" t="s">
        <v>2356</v>
      </c>
    </row>
    <row r="17" spans="2:2" ht="15">
      <c r="B17" s="674" t="s">
        <v>2357</v>
      </c>
    </row>
    <row r="18" spans="2:2" ht="15">
      <c r="B18" s="673" t="s">
        <v>2358</v>
      </c>
    </row>
    <row r="19" spans="2:2" ht="15">
      <c r="B19" s="673" t="s">
        <v>2359</v>
      </c>
    </row>
    <row r="20" spans="2:2">
      <c r="B20" s="671"/>
    </row>
    <row r="21" spans="2:2">
      <c r="B21" s="671"/>
    </row>
    <row r="22" spans="2:2" ht="15.6">
      <c r="B22" s="672" t="s">
        <v>2360</v>
      </c>
    </row>
    <row r="23" spans="2:2" ht="15.6">
      <c r="B23" s="673" t="s">
        <v>2361</v>
      </c>
    </row>
    <row r="24" spans="2:2" ht="15">
      <c r="B24" s="674" t="s">
        <v>2362</v>
      </c>
    </row>
    <row r="25" spans="2:2" ht="15">
      <c r="B25" s="673" t="s">
        <v>2363</v>
      </c>
    </row>
    <row r="26" spans="2:2" ht="15.6">
      <c r="B26" s="673" t="s">
        <v>2364</v>
      </c>
    </row>
    <row r="27" spans="2:2">
      <c r="B27" s="671"/>
    </row>
    <row r="28" spans="2:2">
      <c r="B28" s="671"/>
    </row>
    <row r="29" spans="2:2" ht="15.6">
      <c r="B29" s="672" t="s">
        <v>2365</v>
      </c>
    </row>
    <row r="30" spans="2:2" ht="15.6">
      <c r="B30" s="673" t="s">
        <v>2366</v>
      </c>
    </row>
    <row r="31" spans="2:2" ht="15">
      <c r="B31" s="673" t="s">
        <v>2367</v>
      </c>
    </row>
    <row r="32" spans="2:2" ht="15.6">
      <c r="B32" s="673" t="s">
        <v>2368</v>
      </c>
    </row>
    <row r="33" spans="2:2">
      <c r="B33" s="671"/>
    </row>
    <row r="34" spans="2:2">
      <c r="B34" s="671"/>
    </row>
    <row r="35" spans="2:2" ht="15.6">
      <c r="B35" s="672" t="s">
        <v>2369</v>
      </c>
    </row>
    <row r="36" spans="2:2" ht="25.05" customHeight="1">
      <c r="B36" s="670" t="s">
        <v>2370</v>
      </c>
    </row>
    <row r="37" spans="2:2" ht="15">
      <c r="B37" s="670" t="s">
        <v>2290</v>
      </c>
    </row>
    <row r="38" spans="2:2" ht="15.6">
      <c r="B38" s="675" t="s">
        <v>2291</v>
      </c>
    </row>
    <row r="39" spans="2:2" ht="15">
      <c r="B39" s="676" t="s">
        <v>2292</v>
      </c>
    </row>
    <row r="40" spans="2:2" ht="15">
      <c r="B40" s="677" t="s">
        <v>2293</v>
      </c>
    </row>
    <row r="41" spans="2:2" ht="15">
      <c r="B41" s="678" t="s">
        <v>2294</v>
      </c>
    </row>
    <row r="42" spans="2:2" ht="15">
      <c r="B42" s="678" t="s">
        <v>2295</v>
      </c>
    </row>
    <row r="43" spans="2:2" ht="15">
      <c r="B43" s="678" t="s">
        <v>2296</v>
      </c>
    </row>
    <row r="44" spans="2:2" ht="15">
      <c r="B44" s="678" t="s">
        <v>2297</v>
      </c>
    </row>
    <row r="45" spans="2:2" ht="15">
      <c r="B45" s="676" t="s">
        <v>2298</v>
      </c>
    </row>
    <row r="46" spans="2:2" ht="15">
      <c r="B46" s="676" t="s">
        <v>2299</v>
      </c>
    </row>
    <row r="47" spans="2:2" ht="15">
      <c r="B47" s="676" t="s">
        <v>2300</v>
      </c>
    </row>
    <row r="48" spans="2:2" ht="15">
      <c r="B48" s="676" t="s">
        <v>2301</v>
      </c>
    </row>
    <row r="49" spans="2:2" ht="15.6">
      <c r="B49" s="675" t="s">
        <v>2302</v>
      </c>
    </row>
    <row r="50" spans="2:2" ht="15">
      <c r="B50" s="676" t="s">
        <v>2303</v>
      </c>
    </row>
    <row r="51" spans="2:2" ht="15">
      <c r="B51" s="677" t="s">
        <v>2371</v>
      </c>
    </row>
    <row r="52" spans="2:2" ht="15">
      <c r="B52" s="677" t="s">
        <v>2372</v>
      </c>
    </row>
    <row r="53" spans="2:2" ht="15">
      <c r="B53" s="676" t="s">
        <v>2304</v>
      </c>
    </row>
    <row r="54" spans="2:2" ht="15">
      <c r="B54" s="677" t="s">
        <v>2305</v>
      </c>
    </row>
    <row r="55" spans="2:2" ht="15">
      <c r="B55" s="676" t="s">
        <v>2306</v>
      </c>
    </row>
    <row r="56" spans="2:2">
      <c r="B56" s="671"/>
    </row>
    <row r="57" spans="2:2">
      <c r="B57" s="671"/>
    </row>
    <row r="58" spans="2:2" ht="15.6">
      <c r="B58" s="675"/>
    </row>
    <row r="59" spans="2:2" ht="15.6">
      <c r="B59" s="672" t="s">
        <v>2373</v>
      </c>
    </row>
    <row r="60" spans="2:2" ht="15.6">
      <c r="B60" s="673" t="s">
        <v>2374</v>
      </c>
    </row>
    <row r="61" spans="2:2" ht="15.6">
      <c r="B61" s="673" t="s">
        <v>2375</v>
      </c>
    </row>
    <row r="62" spans="2:2" ht="15.6">
      <c r="B62" s="673" t="s">
        <v>2376</v>
      </c>
    </row>
    <row r="63" spans="2:2" ht="15.6">
      <c r="B63" s="673" t="s">
        <v>2377</v>
      </c>
    </row>
    <row r="64" spans="2:2">
      <c r="B64" s="671"/>
    </row>
    <row r="65" spans="2:2">
      <c r="B65" s="671"/>
    </row>
    <row r="66" spans="2:2" ht="15.6">
      <c r="B66" s="672" t="s">
        <v>2378</v>
      </c>
    </row>
    <row r="67" spans="2:2" ht="15">
      <c r="B67" s="673" t="s">
        <v>2379</v>
      </c>
    </row>
    <row r="68" spans="2:2" ht="15">
      <c r="B68" s="679" t="s">
        <v>2380</v>
      </c>
    </row>
    <row r="69" spans="2:2" ht="15">
      <c r="B69" s="679" t="s">
        <v>2381</v>
      </c>
    </row>
    <row r="70" spans="2:2">
      <c r="B70" s="680"/>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7C73E-ED90-45F3-BB42-42DC979A8165}">
  <sheetPr codeName="Sheet1"/>
  <dimension ref="A1:W58"/>
  <sheetViews>
    <sheetView zoomScale="90" zoomScaleNormal="90" workbookViewId="0">
      <selection activeCell="K11" sqref="K11"/>
    </sheetView>
  </sheetViews>
  <sheetFormatPr defaultColWidth="9.109375" defaultRowHeight="13.2"/>
  <cols>
    <col min="1" max="1" width="9.109375" style="403"/>
    <col min="2" max="2" width="9.5546875" style="402" bestFit="1" customWidth="1"/>
    <col min="3" max="3" width="9.109375" style="447"/>
    <col min="4" max="4" width="4.88671875" style="402" customWidth="1"/>
    <col min="5" max="5" width="4.6640625" style="402" customWidth="1"/>
    <col min="6" max="6" width="9.6640625" style="402" customWidth="1"/>
    <col min="7" max="12" width="9.109375" style="402"/>
    <col min="13" max="13" width="2.33203125" style="402" customWidth="1"/>
    <col min="14" max="14" width="6.33203125" style="402" customWidth="1"/>
    <col min="15" max="15" width="10.5546875" style="402" customWidth="1"/>
    <col min="16" max="16" width="14.5546875" style="402" customWidth="1"/>
    <col min="17" max="17" width="2.33203125" style="402" customWidth="1"/>
    <col min="18" max="18" width="2.44140625" style="402" bestFit="1" customWidth="1"/>
    <col min="19" max="19" width="17.33203125" style="402" customWidth="1"/>
    <col min="20" max="20" width="43.6640625" style="402" customWidth="1"/>
    <col min="21" max="21" width="5.44140625" style="402" customWidth="1"/>
    <col min="22" max="22" width="5.33203125" style="402" customWidth="1"/>
    <col min="23" max="23" width="6.33203125" style="402" customWidth="1"/>
    <col min="24" max="16384" width="9.109375" style="402"/>
  </cols>
  <sheetData>
    <row r="1" spans="1:23" ht="21" thickBot="1">
      <c r="A1" s="399" t="s">
        <v>261</v>
      </c>
      <c r="B1" s="400" t="s">
        <v>262</v>
      </c>
      <c r="C1" s="401" t="s">
        <v>263</v>
      </c>
      <c r="F1" s="400"/>
      <c r="S1" s="400" t="s">
        <v>14</v>
      </c>
    </row>
    <row r="2" spans="1:23" ht="13.35" customHeight="1" thickBot="1">
      <c r="A2" s="403" t="s">
        <v>264</v>
      </c>
      <c r="B2" s="404" t="s">
        <v>255</v>
      </c>
      <c r="C2" s="404">
        <v>1</v>
      </c>
      <c r="E2" s="957" t="s">
        <v>245</v>
      </c>
      <c r="F2" s="405" t="s">
        <v>69</v>
      </c>
      <c r="G2" s="406">
        <v>5</v>
      </c>
      <c r="H2" s="407">
        <v>15</v>
      </c>
      <c r="I2" s="408">
        <v>19</v>
      </c>
      <c r="J2" s="408">
        <v>22</v>
      </c>
      <c r="K2" s="408">
        <v>24</v>
      </c>
      <c r="L2" s="408">
        <v>25</v>
      </c>
      <c r="O2" s="409" t="s">
        <v>69</v>
      </c>
      <c r="R2" s="410" t="s">
        <v>265</v>
      </c>
      <c r="S2" s="411" t="s">
        <v>44</v>
      </c>
      <c r="T2" s="412" t="s">
        <v>266</v>
      </c>
      <c r="U2" s="413"/>
      <c r="V2" s="414"/>
      <c r="W2" s="414"/>
    </row>
    <row r="3" spans="1:23" ht="13.35" customHeight="1" thickBot="1">
      <c r="A3" s="403" t="s">
        <v>267</v>
      </c>
      <c r="B3" s="404" t="s">
        <v>255</v>
      </c>
      <c r="C3" s="404">
        <v>2</v>
      </c>
      <c r="E3" s="958"/>
      <c r="F3" s="415" t="s">
        <v>70</v>
      </c>
      <c r="G3" s="406">
        <v>4</v>
      </c>
      <c r="H3" s="416">
        <v>10</v>
      </c>
      <c r="I3" s="407">
        <v>14</v>
      </c>
      <c r="J3" s="407">
        <v>18</v>
      </c>
      <c r="K3" s="408">
        <v>21</v>
      </c>
      <c r="L3" s="408">
        <v>23</v>
      </c>
      <c r="O3" s="417" t="s">
        <v>70</v>
      </c>
      <c r="R3" s="410" t="s">
        <v>268</v>
      </c>
      <c r="S3" s="418" t="s">
        <v>51</v>
      </c>
      <c r="T3" s="412" t="s">
        <v>269</v>
      </c>
      <c r="U3" s="413"/>
      <c r="V3" s="414"/>
      <c r="W3" s="414"/>
    </row>
    <row r="4" spans="1:23" ht="13.35" customHeight="1" thickBot="1">
      <c r="A4" s="403" t="s">
        <v>270</v>
      </c>
      <c r="B4" s="404" t="s">
        <v>255</v>
      </c>
      <c r="C4" s="404">
        <v>3</v>
      </c>
      <c r="E4" s="958"/>
      <c r="F4" s="415" t="s">
        <v>271</v>
      </c>
      <c r="G4" s="406">
        <v>3</v>
      </c>
      <c r="H4" s="419">
        <v>6</v>
      </c>
      <c r="I4" s="416">
        <v>9</v>
      </c>
      <c r="J4" s="407">
        <v>13</v>
      </c>
      <c r="K4" s="407">
        <v>17</v>
      </c>
      <c r="L4" s="408">
        <v>20</v>
      </c>
      <c r="O4" s="420" t="s">
        <v>271</v>
      </c>
      <c r="R4" s="410" t="s">
        <v>272</v>
      </c>
      <c r="S4" s="418" t="s">
        <v>49</v>
      </c>
      <c r="T4" s="412" t="s">
        <v>273</v>
      </c>
      <c r="U4" s="413"/>
      <c r="V4" s="414"/>
      <c r="W4" s="414"/>
    </row>
    <row r="5" spans="1:23" ht="13.35" customHeight="1" thickBot="1">
      <c r="A5" s="403" t="s">
        <v>274</v>
      </c>
      <c r="B5" s="421" t="s">
        <v>254</v>
      </c>
      <c r="C5" s="421">
        <v>4</v>
      </c>
      <c r="E5" s="958"/>
      <c r="F5" s="415" t="s">
        <v>254</v>
      </c>
      <c r="G5" s="406">
        <v>2</v>
      </c>
      <c r="H5" s="422">
        <v>3</v>
      </c>
      <c r="I5" s="419">
        <v>5</v>
      </c>
      <c r="J5" s="416">
        <v>8</v>
      </c>
      <c r="K5" s="407">
        <v>12</v>
      </c>
      <c r="L5" s="407">
        <v>16</v>
      </c>
      <c r="O5" s="423" t="s">
        <v>254</v>
      </c>
      <c r="R5" s="410" t="s">
        <v>275</v>
      </c>
      <c r="S5" s="418" t="s">
        <v>59</v>
      </c>
      <c r="T5" s="412" t="s">
        <v>276</v>
      </c>
      <c r="U5" s="413"/>
      <c r="V5" s="414"/>
      <c r="W5" s="414"/>
    </row>
    <row r="6" spans="1:23" ht="13.35" customHeight="1" thickBot="1">
      <c r="A6" s="403" t="s">
        <v>277</v>
      </c>
      <c r="B6" s="421" t="s">
        <v>254</v>
      </c>
      <c r="C6" s="421">
        <v>5</v>
      </c>
      <c r="E6" s="958"/>
      <c r="F6" s="415" t="s">
        <v>255</v>
      </c>
      <c r="G6" s="424">
        <v>1</v>
      </c>
      <c r="H6" s="425">
        <v>1</v>
      </c>
      <c r="I6" s="425">
        <v>2</v>
      </c>
      <c r="J6" s="426">
        <v>4</v>
      </c>
      <c r="K6" s="427">
        <v>7</v>
      </c>
      <c r="L6" s="427">
        <v>11</v>
      </c>
      <c r="O6" s="428" t="s">
        <v>255</v>
      </c>
      <c r="R6" s="410" t="s">
        <v>278</v>
      </c>
      <c r="S6" s="418" t="s">
        <v>47</v>
      </c>
      <c r="T6" s="412" t="s">
        <v>279</v>
      </c>
      <c r="U6" s="413"/>
      <c r="V6" s="414"/>
      <c r="W6" s="414"/>
    </row>
    <row r="7" spans="1:23" ht="13.8" thickBot="1">
      <c r="A7" s="403" t="s">
        <v>280</v>
      </c>
      <c r="B7" s="421" t="s">
        <v>254</v>
      </c>
      <c r="C7" s="421">
        <v>6</v>
      </c>
      <c r="E7" s="958"/>
      <c r="F7" s="415"/>
      <c r="G7" s="429"/>
      <c r="H7" s="430">
        <v>1</v>
      </c>
      <c r="I7" s="430">
        <v>2</v>
      </c>
      <c r="J7" s="430">
        <v>3</v>
      </c>
      <c r="K7" s="430">
        <v>4</v>
      </c>
      <c r="L7" s="430">
        <v>5</v>
      </c>
      <c r="R7" s="410" t="s">
        <v>268</v>
      </c>
      <c r="S7" s="418" t="s">
        <v>53</v>
      </c>
      <c r="T7" s="412" t="s">
        <v>281</v>
      </c>
      <c r="U7" s="413"/>
      <c r="V7" s="414"/>
      <c r="W7" s="414"/>
    </row>
    <row r="8" spans="1:23" ht="27" thickBot="1">
      <c r="A8" s="403" t="s">
        <v>282</v>
      </c>
      <c r="B8" s="431" t="s">
        <v>271</v>
      </c>
      <c r="C8" s="431">
        <v>7</v>
      </c>
      <c r="E8" s="958"/>
      <c r="F8" s="432"/>
      <c r="G8" s="433"/>
      <c r="H8" s="434" t="s">
        <v>256</v>
      </c>
      <c r="I8" s="434" t="s">
        <v>257</v>
      </c>
      <c r="J8" s="434" t="s">
        <v>258</v>
      </c>
      <c r="K8" s="434" t="s">
        <v>259</v>
      </c>
      <c r="L8" s="435" t="s">
        <v>260</v>
      </c>
      <c r="R8" s="436"/>
      <c r="S8" s="436"/>
      <c r="T8" s="436"/>
    </row>
    <row r="9" spans="1:23" ht="20.85" customHeight="1" thickBot="1">
      <c r="A9" s="403" t="s">
        <v>283</v>
      </c>
      <c r="B9" s="431" t="s">
        <v>271</v>
      </c>
      <c r="C9" s="431">
        <v>8</v>
      </c>
      <c r="E9" s="432"/>
      <c r="F9" s="959" t="s">
        <v>252</v>
      </c>
      <c r="G9" s="959"/>
      <c r="H9" s="959"/>
      <c r="I9" s="959"/>
      <c r="J9" s="959"/>
      <c r="K9" s="959"/>
      <c r="L9" s="960"/>
      <c r="R9" s="410" t="s">
        <v>284</v>
      </c>
      <c r="S9" s="418" t="s">
        <v>46</v>
      </c>
      <c r="T9" s="412" t="s">
        <v>285</v>
      </c>
      <c r="U9" s="413"/>
      <c r="V9" s="414"/>
      <c r="W9" s="414"/>
    </row>
    <row r="10" spans="1:23" ht="13.35" customHeight="1">
      <c r="A10" s="403" t="s">
        <v>286</v>
      </c>
      <c r="B10" s="431" t="s">
        <v>271</v>
      </c>
      <c r="C10" s="431">
        <v>9</v>
      </c>
      <c r="R10" s="410" t="s">
        <v>287</v>
      </c>
      <c r="S10" s="418" t="s">
        <v>35</v>
      </c>
      <c r="T10" s="412" t="s">
        <v>288</v>
      </c>
      <c r="U10" s="413"/>
      <c r="V10" s="414"/>
      <c r="W10" s="414"/>
    </row>
    <row r="11" spans="1:23" ht="12.75" customHeight="1">
      <c r="A11" s="403" t="s">
        <v>289</v>
      </c>
      <c r="B11" s="431" t="s">
        <v>271</v>
      </c>
      <c r="C11" s="431">
        <v>10</v>
      </c>
      <c r="R11" s="410" t="s">
        <v>290</v>
      </c>
      <c r="S11" s="418" t="s">
        <v>27</v>
      </c>
      <c r="T11" s="412" t="s">
        <v>291</v>
      </c>
      <c r="U11" s="413"/>
      <c r="V11" s="414"/>
      <c r="W11" s="414"/>
    </row>
    <row r="12" spans="1:23">
      <c r="A12" s="403" t="s">
        <v>292</v>
      </c>
      <c r="B12" s="431" t="s">
        <v>271</v>
      </c>
      <c r="C12" s="431">
        <v>11</v>
      </c>
      <c r="R12" s="410" t="s">
        <v>275</v>
      </c>
      <c r="S12" s="418" t="s">
        <v>57</v>
      </c>
      <c r="T12" s="412" t="s">
        <v>293</v>
      </c>
      <c r="U12" s="413"/>
      <c r="V12" s="414"/>
      <c r="W12" s="414"/>
    </row>
    <row r="13" spans="1:23">
      <c r="A13" s="403" t="s">
        <v>294</v>
      </c>
      <c r="B13" s="437" t="s">
        <v>70</v>
      </c>
      <c r="C13" s="437">
        <v>12</v>
      </c>
      <c r="R13" s="410" t="s">
        <v>295</v>
      </c>
      <c r="S13" s="418" t="s">
        <v>58</v>
      </c>
      <c r="T13" s="412" t="s">
        <v>296</v>
      </c>
      <c r="U13" s="413"/>
      <c r="V13" s="414"/>
      <c r="W13" s="414"/>
    </row>
    <row r="14" spans="1:23" ht="13.8" thickBot="1">
      <c r="A14" s="403" t="s">
        <v>297</v>
      </c>
      <c r="B14" s="437" t="s">
        <v>70</v>
      </c>
      <c r="C14" s="437">
        <v>13</v>
      </c>
      <c r="R14" s="410" t="s">
        <v>290</v>
      </c>
      <c r="S14" s="418" t="s">
        <v>62</v>
      </c>
      <c r="T14" s="412" t="s">
        <v>298</v>
      </c>
      <c r="U14" s="413"/>
      <c r="V14" s="414"/>
      <c r="W14" s="414"/>
    </row>
    <row r="15" spans="1:23" ht="15.6">
      <c r="A15" s="403" t="s">
        <v>299</v>
      </c>
      <c r="B15" s="437" t="s">
        <v>70</v>
      </c>
      <c r="C15" s="437">
        <v>14</v>
      </c>
      <c r="E15" s="961" t="s">
        <v>245</v>
      </c>
      <c r="F15" s="962"/>
      <c r="G15" s="962"/>
      <c r="H15" s="962"/>
      <c r="I15" s="962"/>
      <c r="J15" s="962"/>
      <c r="K15" s="962"/>
      <c r="L15" s="963"/>
      <c r="M15" s="438"/>
      <c r="N15" s="961" t="s">
        <v>252</v>
      </c>
      <c r="O15" s="962"/>
      <c r="P15" s="963"/>
    </row>
    <row r="16" spans="1:23" ht="40.799999999999997">
      <c r="A16" s="403" t="s">
        <v>300</v>
      </c>
      <c r="B16" s="437" t="s">
        <v>70</v>
      </c>
      <c r="C16" s="437">
        <v>15</v>
      </c>
      <c r="E16" s="439" t="s">
        <v>301</v>
      </c>
      <c r="F16" s="439" t="s">
        <v>302</v>
      </c>
      <c r="G16" s="439" t="s">
        <v>303</v>
      </c>
      <c r="H16" s="439" t="s">
        <v>304</v>
      </c>
      <c r="I16" s="439" t="s">
        <v>305</v>
      </c>
      <c r="J16" s="439" t="s">
        <v>306</v>
      </c>
      <c r="K16" s="439" t="s">
        <v>307</v>
      </c>
      <c r="L16" s="439" t="s">
        <v>308</v>
      </c>
      <c r="M16" s="440"/>
      <c r="N16" s="439" t="s">
        <v>301</v>
      </c>
      <c r="O16" s="439" t="s">
        <v>302</v>
      </c>
      <c r="P16" s="439" t="s">
        <v>309</v>
      </c>
    </row>
    <row r="17" spans="1:16" ht="132.6">
      <c r="A17" s="403" t="s">
        <v>310</v>
      </c>
      <c r="B17" s="437" t="s">
        <v>70</v>
      </c>
      <c r="C17" s="437">
        <v>16</v>
      </c>
      <c r="E17" s="418">
        <v>5</v>
      </c>
      <c r="F17" s="418" t="s">
        <v>69</v>
      </c>
      <c r="G17" s="418" t="s">
        <v>311</v>
      </c>
      <c r="H17" s="418" t="s">
        <v>312</v>
      </c>
      <c r="I17" s="418" t="s">
        <v>313</v>
      </c>
      <c r="J17" s="418" t="s">
        <v>314</v>
      </c>
      <c r="K17" s="418" t="s">
        <v>315</v>
      </c>
      <c r="L17" s="418" t="s">
        <v>316</v>
      </c>
      <c r="M17" s="347"/>
      <c r="N17" s="418">
        <v>5</v>
      </c>
      <c r="O17" s="418" t="s">
        <v>317</v>
      </c>
      <c r="P17" s="418" t="s">
        <v>318</v>
      </c>
    </row>
    <row r="18" spans="1:16" ht="102">
      <c r="A18" s="403" t="s">
        <v>319</v>
      </c>
      <c r="B18" s="437" t="s">
        <v>70</v>
      </c>
      <c r="C18" s="437">
        <v>17</v>
      </c>
      <c r="E18" s="418">
        <v>4</v>
      </c>
      <c r="F18" s="418" t="s">
        <v>70</v>
      </c>
      <c r="G18" s="418" t="s">
        <v>320</v>
      </c>
      <c r="H18" s="418" t="s">
        <v>321</v>
      </c>
      <c r="I18" s="418" t="s">
        <v>322</v>
      </c>
      <c r="J18" s="418" t="s">
        <v>323</v>
      </c>
      <c r="K18" s="418" t="s">
        <v>324</v>
      </c>
      <c r="L18" s="418" t="s">
        <v>325</v>
      </c>
      <c r="M18" s="347"/>
      <c r="N18" s="418">
        <v>4</v>
      </c>
      <c r="O18" s="418" t="s">
        <v>259</v>
      </c>
      <c r="P18" s="418" t="s">
        <v>326</v>
      </c>
    </row>
    <row r="19" spans="1:16" ht="91.8">
      <c r="A19" s="403" t="s">
        <v>327</v>
      </c>
      <c r="B19" s="437" t="s">
        <v>70</v>
      </c>
      <c r="C19" s="437">
        <v>18</v>
      </c>
      <c r="E19" s="418">
        <v>3</v>
      </c>
      <c r="F19" s="418" t="s">
        <v>253</v>
      </c>
      <c r="G19" s="418" t="s">
        <v>328</v>
      </c>
      <c r="H19" s="418" t="s">
        <v>329</v>
      </c>
      <c r="I19" s="418" t="s">
        <v>330</v>
      </c>
      <c r="J19" s="418" t="s">
        <v>331</v>
      </c>
      <c r="K19" s="418" t="s">
        <v>332</v>
      </c>
      <c r="L19" s="418" t="s">
        <v>333</v>
      </c>
      <c r="M19" s="347"/>
      <c r="N19" s="418">
        <v>3</v>
      </c>
      <c r="O19" s="418" t="s">
        <v>258</v>
      </c>
      <c r="P19" s="418" t="s">
        <v>334</v>
      </c>
    </row>
    <row r="20" spans="1:16" ht="81.599999999999994">
      <c r="A20" s="403" t="s">
        <v>335</v>
      </c>
      <c r="B20" s="441" t="s">
        <v>69</v>
      </c>
      <c r="C20" s="441">
        <v>19</v>
      </c>
      <c r="E20" s="418">
        <v>2</v>
      </c>
      <c r="F20" s="418" t="s">
        <v>254</v>
      </c>
      <c r="G20" s="418" t="s">
        <v>336</v>
      </c>
      <c r="H20" s="418" t="s">
        <v>337</v>
      </c>
      <c r="I20" s="418" t="s">
        <v>338</v>
      </c>
      <c r="J20" s="418" t="s">
        <v>339</v>
      </c>
      <c r="K20" s="418" t="s">
        <v>340</v>
      </c>
      <c r="L20" s="418" t="s">
        <v>341</v>
      </c>
      <c r="M20" s="347"/>
      <c r="N20" s="418">
        <v>2</v>
      </c>
      <c r="O20" s="418" t="s">
        <v>257</v>
      </c>
      <c r="P20" s="418" t="s">
        <v>342</v>
      </c>
    </row>
    <row r="21" spans="1:16" ht="71.400000000000006">
      <c r="A21" s="403" t="s">
        <v>343</v>
      </c>
      <c r="B21" s="441" t="s">
        <v>69</v>
      </c>
      <c r="C21" s="441">
        <v>20</v>
      </c>
      <c r="E21" s="418">
        <v>1</v>
      </c>
      <c r="F21" s="418" t="s">
        <v>255</v>
      </c>
      <c r="G21" s="418" t="s">
        <v>344</v>
      </c>
      <c r="H21" s="418" t="s">
        <v>345</v>
      </c>
      <c r="I21" s="418" t="s">
        <v>346</v>
      </c>
      <c r="J21" s="418" t="s">
        <v>347</v>
      </c>
      <c r="K21" s="418" t="s">
        <v>348</v>
      </c>
      <c r="L21" s="418" t="s">
        <v>349</v>
      </c>
      <c r="M21" s="347"/>
      <c r="N21" s="418">
        <v>1</v>
      </c>
      <c r="O21" s="418" t="s">
        <v>256</v>
      </c>
      <c r="P21" s="418" t="s">
        <v>350</v>
      </c>
    </row>
    <row r="22" spans="1:16" ht="20.85" customHeight="1">
      <c r="A22" s="403" t="s">
        <v>351</v>
      </c>
      <c r="B22" s="441" t="s">
        <v>69</v>
      </c>
      <c r="C22" s="441">
        <v>21</v>
      </c>
    </row>
    <row r="23" spans="1:16" ht="62.85" customHeight="1">
      <c r="A23" s="403" t="s">
        <v>352</v>
      </c>
      <c r="B23" s="441" t="s">
        <v>69</v>
      </c>
      <c r="C23" s="441">
        <v>22</v>
      </c>
    </row>
    <row r="24" spans="1:16" ht="25.35" customHeight="1">
      <c r="A24" s="403" t="s">
        <v>353</v>
      </c>
      <c r="B24" s="441" t="s">
        <v>69</v>
      </c>
      <c r="C24" s="441">
        <v>23</v>
      </c>
    </row>
    <row r="25" spans="1:16">
      <c r="A25" s="403" t="s">
        <v>354</v>
      </c>
      <c r="B25" s="441" t="s">
        <v>69</v>
      </c>
      <c r="C25" s="441">
        <v>24</v>
      </c>
    </row>
    <row r="26" spans="1:16" ht="37.5" customHeight="1">
      <c r="A26" s="403" t="s">
        <v>355</v>
      </c>
      <c r="B26" s="441" t="s">
        <v>69</v>
      </c>
      <c r="C26" s="441">
        <v>25</v>
      </c>
    </row>
    <row r="27" spans="1:16" s="444" customFormat="1" ht="37.5" customHeight="1">
      <c r="A27" s="442"/>
      <c r="B27" s="443"/>
      <c r="C27" s="443"/>
    </row>
    <row r="28" spans="1:16">
      <c r="A28" s="442"/>
      <c r="C28" s="443"/>
    </row>
    <row r="29" spans="1:16" ht="13.35" customHeight="1">
      <c r="A29" s="442"/>
      <c r="C29" s="443"/>
    </row>
    <row r="30" spans="1:16">
      <c r="A30" s="442"/>
      <c r="C30" s="443"/>
    </row>
    <row r="31" spans="1:16">
      <c r="A31" s="442"/>
      <c r="C31" s="443"/>
    </row>
    <row r="32" spans="1:16">
      <c r="A32" s="442"/>
      <c r="C32" s="443"/>
    </row>
    <row r="33" spans="1:3">
      <c r="A33" s="442"/>
      <c r="C33" s="445"/>
    </row>
    <row r="34" spans="1:3">
      <c r="A34" s="442"/>
      <c r="C34" s="445"/>
    </row>
    <row r="35" spans="1:3" ht="20.25" customHeight="1">
      <c r="A35" s="442"/>
      <c r="C35" s="445"/>
    </row>
    <row r="36" spans="1:3">
      <c r="A36" s="442"/>
      <c r="C36" s="445"/>
    </row>
    <row r="37" spans="1:3">
      <c r="A37" s="442"/>
      <c r="C37" s="445"/>
    </row>
    <row r="38" spans="1:3">
      <c r="A38" s="442"/>
      <c r="C38" s="445"/>
    </row>
    <row r="39" spans="1:3">
      <c r="A39" s="442"/>
      <c r="C39" s="445"/>
    </row>
    <row r="40" spans="1:3">
      <c r="A40" s="442"/>
      <c r="C40" s="445"/>
    </row>
    <row r="41" spans="1:3">
      <c r="A41" s="442"/>
      <c r="C41" s="445"/>
    </row>
    <row r="42" spans="1:3">
      <c r="A42" s="442"/>
      <c r="C42" s="445"/>
    </row>
    <row r="43" spans="1:3">
      <c r="A43" s="442"/>
      <c r="C43" s="445"/>
    </row>
    <row r="44" spans="1:3">
      <c r="A44" s="442"/>
      <c r="C44" s="445"/>
    </row>
    <row r="45" spans="1:3">
      <c r="A45" s="442"/>
      <c r="C45" s="445"/>
    </row>
    <row r="46" spans="1:3">
      <c r="A46" s="442"/>
      <c r="C46" s="445"/>
    </row>
    <row r="47" spans="1:3">
      <c r="A47" s="442"/>
      <c r="C47" s="445"/>
    </row>
    <row r="48" spans="1:3">
      <c r="A48" s="442"/>
      <c r="C48" s="445"/>
    </row>
    <row r="49" spans="1:3">
      <c r="A49" s="442"/>
      <c r="C49" s="445"/>
    </row>
    <row r="50" spans="1:3">
      <c r="A50" s="442"/>
      <c r="C50" s="445"/>
    </row>
    <row r="51" spans="1:3">
      <c r="A51" s="442"/>
      <c r="C51" s="445"/>
    </row>
    <row r="52" spans="1:3">
      <c r="A52" s="442"/>
      <c r="C52" s="445"/>
    </row>
    <row r="53" spans="1:3">
      <c r="A53" s="442"/>
      <c r="C53" s="445"/>
    </row>
    <row r="54" spans="1:3">
      <c r="A54" s="442"/>
      <c r="C54" s="445"/>
    </row>
    <row r="55" spans="1:3">
      <c r="A55" s="442"/>
      <c r="C55" s="445"/>
    </row>
    <row r="56" spans="1:3">
      <c r="A56" s="442"/>
      <c r="C56" s="445"/>
    </row>
    <row r="57" spans="1:3">
      <c r="A57" s="442"/>
      <c r="C57" s="445"/>
    </row>
    <row r="58" spans="1:3">
      <c r="A58" s="442"/>
      <c r="C58" s="446"/>
    </row>
  </sheetData>
  <mergeCells count="4">
    <mergeCell ref="E2:E8"/>
    <mergeCell ref="F9:L9"/>
    <mergeCell ref="E15:L15"/>
    <mergeCell ref="N15:P15"/>
  </mergeCell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3ADDC-CDC0-49AA-8269-7314869BC1F3}">
  <sheetPr codeName="Sheet8"/>
  <dimension ref="A1:V29"/>
  <sheetViews>
    <sheetView workbookViewId="0">
      <selection activeCell="G32" sqref="G32"/>
    </sheetView>
  </sheetViews>
  <sheetFormatPr defaultColWidth="9.109375" defaultRowHeight="13.2"/>
  <cols>
    <col min="1" max="2" width="18" style="402" customWidth="1"/>
    <col min="3" max="3" width="33" style="402" customWidth="1"/>
    <col min="4" max="6" width="10.6640625" style="402" customWidth="1"/>
    <col min="7" max="7" width="9.109375" style="402"/>
    <col min="8" max="8" width="19.33203125" style="402" customWidth="1"/>
    <col min="9" max="11" width="18.5546875" style="402" customWidth="1"/>
    <col min="12" max="12" width="9.109375" style="402"/>
    <col min="13" max="13" width="26.33203125" style="402" customWidth="1"/>
    <col min="14" max="16" width="9.109375" style="402"/>
    <col min="17" max="17" width="16.6640625" style="402" customWidth="1"/>
    <col min="18" max="18" width="9.109375" style="402"/>
    <col min="19" max="19" width="11" style="402" customWidth="1"/>
    <col min="20" max="20" width="11.5546875" style="402" customWidth="1"/>
    <col min="21" max="21" width="9.109375" style="402"/>
    <col min="22" max="22" width="17.44140625" style="402" customWidth="1"/>
    <col min="23" max="16384" width="9.109375" style="402"/>
  </cols>
  <sheetData>
    <row r="1" spans="1:22">
      <c r="A1" s="400" t="s">
        <v>356</v>
      </c>
      <c r="B1" s="400"/>
      <c r="M1" s="400"/>
      <c r="Q1" s="400"/>
      <c r="V1" s="400"/>
    </row>
    <row r="3" spans="1:22" ht="39.6">
      <c r="A3" s="400" t="s">
        <v>13</v>
      </c>
      <c r="B3" s="400" t="s">
        <v>357</v>
      </c>
      <c r="C3" s="400" t="s">
        <v>245</v>
      </c>
      <c r="D3" s="400" t="s">
        <v>252</v>
      </c>
      <c r="E3" s="400" t="s">
        <v>1488</v>
      </c>
      <c r="F3" s="400" t="s">
        <v>1489</v>
      </c>
      <c r="G3" s="400" t="s">
        <v>105</v>
      </c>
      <c r="H3" s="400" t="s">
        <v>358</v>
      </c>
      <c r="I3" s="400" t="s">
        <v>10</v>
      </c>
      <c r="J3" s="455" t="s">
        <v>2311</v>
      </c>
      <c r="K3" s="455" t="s">
        <v>2312</v>
      </c>
      <c r="M3" s="400"/>
      <c r="N3" s="400"/>
      <c r="Q3" s="400"/>
      <c r="R3" s="400"/>
      <c r="S3" s="400"/>
      <c r="T3" s="400"/>
      <c r="V3" s="400"/>
    </row>
    <row r="4" spans="1:22">
      <c r="A4" s="448" t="s">
        <v>34</v>
      </c>
      <c r="B4" s="345" t="s">
        <v>158</v>
      </c>
      <c r="C4" s="345">
        <v>1</v>
      </c>
      <c r="D4" s="345">
        <v>1</v>
      </c>
      <c r="E4" s="345" t="s">
        <v>1518</v>
      </c>
      <c r="F4" s="345" t="s">
        <v>1519</v>
      </c>
      <c r="G4" s="345" t="s">
        <v>50</v>
      </c>
      <c r="H4" s="345" t="s">
        <v>23</v>
      </c>
      <c r="I4" s="448" t="s">
        <v>9</v>
      </c>
      <c r="J4" s="345">
        <v>1</v>
      </c>
      <c r="K4" s="345">
        <v>0.2</v>
      </c>
      <c r="M4" s="448"/>
      <c r="N4" s="345"/>
    </row>
    <row r="5" spans="1:22">
      <c r="A5" s="448" t="s">
        <v>26</v>
      </c>
      <c r="B5" s="345" t="s">
        <v>2343</v>
      </c>
      <c r="C5" s="345">
        <v>2</v>
      </c>
      <c r="D5" s="345">
        <v>2</v>
      </c>
      <c r="E5" s="345" t="s">
        <v>1522</v>
      </c>
      <c r="F5" s="345" t="s">
        <v>1538</v>
      </c>
      <c r="G5" s="345" t="s">
        <v>38</v>
      </c>
      <c r="H5" s="345" t="s">
        <v>45</v>
      </c>
      <c r="I5" s="448" t="s">
        <v>24</v>
      </c>
      <c r="J5" s="345">
        <v>2</v>
      </c>
      <c r="K5" s="345">
        <v>0.4</v>
      </c>
      <c r="M5" s="448"/>
      <c r="N5" s="345"/>
    </row>
    <row r="6" spans="1:22" ht="26.4">
      <c r="A6" s="448" t="s">
        <v>41</v>
      </c>
      <c r="B6" s="345" t="s">
        <v>161</v>
      </c>
      <c r="C6" s="345">
        <v>3</v>
      </c>
      <c r="D6" s="345">
        <v>3</v>
      </c>
      <c r="E6" s="345" t="s">
        <v>1639</v>
      </c>
      <c r="F6" s="345"/>
      <c r="G6" s="345" t="s">
        <v>30</v>
      </c>
      <c r="H6" s="345" t="s">
        <v>63</v>
      </c>
      <c r="I6" s="448" t="s">
        <v>40</v>
      </c>
      <c r="J6" s="345">
        <v>3</v>
      </c>
      <c r="K6" s="345">
        <v>0.6</v>
      </c>
      <c r="N6" s="345"/>
    </row>
    <row r="7" spans="1:22">
      <c r="A7" s="448" t="s">
        <v>29</v>
      </c>
      <c r="B7" s="345" t="s">
        <v>41</v>
      </c>
      <c r="C7" s="345">
        <v>4</v>
      </c>
      <c r="D7" s="345">
        <v>4</v>
      </c>
      <c r="E7" s="345" t="s">
        <v>1519</v>
      </c>
      <c r="F7" s="345"/>
      <c r="G7" s="345" t="s">
        <v>42</v>
      </c>
      <c r="H7" s="345"/>
      <c r="I7" s="448" t="s">
        <v>126</v>
      </c>
      <c r="J7" s="345">
        <v>4</v>
      </c>
      <c r="K7" s="345">
        <v>0.8</v>
      </c>
      <c r="N7" s="345"/>
    </row>
    <row r="8" spans="1:22">
      <c r="A8" s="345" t="s">
        <v>43</v>
      </c>
      <c r="B8" s="345" t="s">
        <v>2325</v>
      </c>
      <c r="C8" s="449">
        <v>5</v>
      </c>
      <c r="D8" s="449">
        <v>5</v>
      </c>
      <c r="E8" s="449"/>
      <c r="F8" s="449"/>
      <c r="G8" s="345" t="s">
        <v>55</v>
      </c>
      <c r="H8" s="345"/>
      <c r="I8" s="448" t="s">
        <v>56</v>
      </c>
      <c r="J8" s="345">
        <v>5</v>
      </c>
      <c r="K8" s="345">
        <v>1</v>
      </c>
    </row>
    <row r="9" spans="1:22">
      <c r="A9" s="448"/>
      <c r="B9" s="345"/>
      <c r="C9" s="449"/>
      <c r="D9" s="449"/>
      <c r="E9" s="449"/>
      <c r="F9" s="449"/>
      <c r="G9" s="345"/>
      <c r="H9" s="345"/>
      <c r="I9" s="345" t="s">
        <v>36</v>
      </c>
    </row>
    <row r="10" spans="1:22">
      <c r="A10" s="448"/>
      <c r="B10" s="345"/>
      <c r="C10" s="449"/>
      <c r="D10" s="449"/>
      <c r="E10" s="449"/>
      <c r="F10" s="449"/>
      <c r="G10" s="345"/>
      <c r="H10" s="345"/>
      <c r="I10" s="345" t="s">
        <v>32</v>
      </c>
    </row>
    <row r="11" spans="1:22">
      <c r="B11" s="345"/>
      <c r="C11" s="449"/>
      <c r="D11" s="449"/>
      <c r="E11" s="449"/>
      <c r="F11" s="449"/>
      <c r="G11" s="345"/>
      <c r="H11" s="345"/>
      <c r="I11" s="345" t="s">
        <v>68</v>
      </c>
    </row>
    <row r="12" spans="1:22">
      <c r="B12" s="345"/>
      <c r="C12" s="450"/>
      <c r="D12" s="450"/>
      <c r="I12" s="345" t="s">
        <v>67</v>
      </c>
    </row>
    <row r="13" spans="1:22" ht="26.4">
      <c r="B13" s="345"/>
      <c r="I13" s="345" t="s">
        <v>66</v>
      </c>
    </row>
    <row r="14" spans="1:22">
      <c r="B14" s="345"/>
      <c r="I14" s="345" t="s">
        <v>65</v>
      </c>
    </row>
    <row r="15" spans="1:22">
      <c r="B15" s="345"/>
      <c r="I15" s="345" t="s">
        <v>196</v>
      </c>
    </row>
    <row r="16" spans="1:22" ht="26.4">
      <c r="B16" s="345"/>
      <c r="I16" s="345" t="s">
        <v>143</v>
      </c>
    </row>
    <row r="17" spans="2:3">
      <c r="B17" s="345"/>
    </row>
    <row r="18" spans="2:3">
      <c r="B18" s="345"/>
    </row>
    <row r="19" spans="2:3">
      <c r="B19" s="345"/>
    </row>
    <row r="24" spans="2:3" ht="14.4">
      <c r="B24" s="655" t="s">
        <v>2313</v>
      </c>
      <c r="C24" s="655" t="s">
        <v>2314</v>
      </c>
    </row>
    <row r="25" spans="2:3" ht="14.4">
      <c r="B25" s="656">
        <v>1</v>
      </c>
      <c r="C25" s="126" t="s">
        <v>2315</v>
      </c>
    </row>
    <row r="26" spans="2:3" ht="14.4">
      <c r="B26" s="656">
        <v>2</v>
      </c>
      <c r="C26" s="126" t="s">
        <v>2316</v>
      </c>
    </row>
    <row r="27" spans="2:3" ht="14.4">
      <c r="B27" s="656">
        <v>3</v>
      </c>
      <c r="C27" s="126" t="s">
        <v>2317</v>
      </c>
    </row>
    <row r="28" spans="2:3" ht="14.4">
      <c r="B28" s="656">
        <v>4</v>
      </c>
      <c r="C28" s="126" t="s">
        <v>2318</v>
      </c>
    </row>
    <row r="29" spans="2:3" ht="14.4">
      <c r="B29" s="656">
        <v>5</v>
      </c>
      <c r="C29" s="126" t="s">
        <v>2319</v>
      </c>
    </row>
  </sheetData>
  <dataValidations count="1">
    <dataValidation type="list" allowBlank="1" showInputMessage="1" showErrorMessage="1" sqref="A24" xr:uid="{C65E1E57-9481-4652-9801-0520FC54215B}">
      <formula1>rngRisk_Refs</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85894-C12A-4705-B755-80ADE00CBC43}">
  <sheetPr codeName="Sheet22"/>
  <dimension ref="A1:M26"/>
  <sheetViews>
    <sheetView zoomScale="110" zoomScaleNormal="110" workbookViewId="0">
      <selection activeCell="J10" sqref="J10"/>
    </sheetView>
  </sheetViews>
  <sheetFormatPr defaultColWidth="9.109375" defaultRowHeight="13.2"/>
  <cols>
    <col min="1" max="1" width="4.6640625" style="402" customWidth="1"/>
    <col min="2" max="3" width="9.33203125" style="402" customWidth="1"/>
    <col min="4" max="4" width="2.44140625" style="402" customWidth="1"/>
    <col min="5" max="5" width="13.6640625" style="402" customWidth="1"/>
    <col min="6" max="6" width="31" style="402" customWidth="1"/>
    <col min="7" max="7" width="2.6640625" style="402" customWidth="1"/>
    <col min="8" max="8" width="2.44140625" style="402" customWidth="1"/>
    <col min="9" max="9" width="15" style="402" customWidth="1"/>
    <col min="10" max="10" width="31" style="402" customWidth="1"/>
    <col min="11" max="11" width="2.33203125" style="402" customWidth="1"/>
    <col min="12" max="12" width="17.44140625" style="402" customWidth="1"/>
    <col min="13" max="13" width="31" style="402" customWidth="1"/>
    <col min="14" max="16384" width="9.109375" style="402"/>
  </cols>
  <sheetData>
    <row r="1" spans="1:13" ht="26.4">
      <c r="A1" s="451" t="s">
        <v>367</v>
      </c>
      <c r="B1" s="402" t="s">
        <v>38</v>
      </c>
      <c r="D1" s="345"/>
      <c r="E1" s="452" t="s">
        <v>368</v>
      </c>
      <c r="F1" s="453" t="s">
        <v>369</v>
      </c>
      <c r="G1" s="454"/>
      <c r="H1" s="455"/>
      <c r="I1" s="452" t="s">
        <v>370</v>
      </c>
      <c r="J1" s="453" t="s">
        <v>369</v>
      </c>
      <c r="K1" s="454"/>
      <c r="L1" s="452" t="s">
        <v>371</v>
      </c>
      <c r="M1" s="453" t="s">
        <v>369</v>
      </c>
    </row>
    <row r="2" spans="1:13" ht="40.799999999999997">
      <c r="A2" s="451" t="s">
        <v>264</v>
      </c>
      <c r="B2" s="456" t="s">
        <v>361</v>
      </c>
      <c r="D2" s="457">
        <v>1</v>
      </c>
      <c r="E2" s="458" t="s">
        <v>246</v>
      </c>
      <c r="F2" s="411" t="s">
        <v>372</v>
      </c>
      <c r="G2" s="459"/>
      <c r="H2" s="457">
        <v>1</v>
      </c>
      <c r="I2" s="418" t="s">
        <v>247</v>
      </c>
      <c r="J2" s="418" t="s">
        <v>373</v>
      </c>
      <c r="K2" s="418"/>
      <c r="L2" s="418" t="s">
        <v>374</v>
      </c>
      <c r="M2" s="418" t="s">
        <v>375</v>
      </c>
    </row>
    <row r="3" spans="1:13" ht="40.799999999999997">
      <c r="A3" s="451" t="s">
        <v>270</v>
      </c>
      <c r="B3" s="456" t="s">
        <v>361</v>
      </c>
      <c r="D3" s="457">
        <v>2</v>
      </c>
      <c r="E3" s="458" t="s">
        <v>248</v>
      </c>
      <c r="F3" s="411" t="s">
        <v>376</v>
      </c>
      <c r="G3" s="459"/>
      <c r="H3" s="457">
        <v>2</v>
      </c>
      <c r="I3" s="418" t="s">
        <v>249</v>
      </c>
      <c r="J3" s="418" t="s">
        <v>377</v>
      </c>
      <c r="K3" s="418"/>
      <c r="L3" s="418" t="s">
        <v>207</v>
      </c>
      <c r="M3" s="418" t="s">
        <v>378</v>
      </c>
    </row>
    <row r="4" spans="1:13" ht="40.799999999999997">
      <c r="A4" s="451" t="s">
        <v>267</v>
      </c>
      <c r="B4" s="456" t="s">
        <v>361</v>
      </c>
      <c r="D4" s="457">
        <v>3</v>
      </c>
      <c r="E4" s="458" t="s">
        <v>250</v>
      </c>
      <c r="F4" s="411" t="s">
        <v>379</v>
      </c>
      <c r="G4" s="459"/>
      <c r="H4" s="457">
        <v>3</v>
      </c>
      <c r="I4" s="418" t="s">
        <v>251</v>
      </c>
      <c r="J4" s="418" t="s">
        <v>380</v>
      </c>
      <c r="K4" s="418"/>
      <c r="L4" s="418" t="s">
        <v>114</v>
      </c>
      <c r="M4" s="418" t="s">
        <v>381</v>
      </c>
    </row>
    <row r="5" spans="1:13" ht="20.399999999999999">
      <c r="A5" s="451" t="s">
        <v>277</v>
      </c>
      <c r="B5" s="460" t="s">
        <v>253</v>
      </c>
      <c r="D5" s="457">
        <v>0</v>
      </c>
      <c r="E5" s="458" t="s">
        <v>38</v>
      </c>
      <c r="F5" s="411" t="s">
        <v>382</v>
      </c>
      <c r="G5" s="347"/>
      <c r="H5" s="457">
        <v>0</v>
      </c>
      <c r="I5" s="458" t="s">
        <v>38</v>
      </c>
      <c r="J5" s="411" t="s">
        <v>382</v>
      </c>
      <c r="K5" s="347"/>
      <c r="L5" s="418" t="s">
        <v>110</v>
      </c>
      <c r="M5" s="418" t="s">
        <v>383</v>
      </c>
    </row>
    <row r="6" spans="1:13">
      <c r="A6" s="451" t="s">
        <v>280</v>
      </c>
      <c r="B6" s="460" t="s">
        <v>253</v>
      </c>
      <c r="E6" s="347"/>
      <c r="F6" s="347"/>
      <c r="G6" s="347"/>
      <c r="I6" s="438"/>
      <c r="J6" s="347"/>
      <c r="K6" s="347"/>
      <c r="L6" s="418" t="s">
        <v>384</v>
      </c>
      <c r="M6" s="418"/>
    </row>
    <row r="7" spans="1:13">
      <c r="A7" s="451" t="s">
        <v>274</v>
      </c>
      <c r="B7" s="460" t="s">
        <v>253</v>
      </c>
    </row>
    <row r="8" spans="1:13">
      <c r="A8" s="451" t="s">
        <v>286</v>
      </c>
      <c r="B8" s="461" t="s">
        <v>359</v>
      </c>
    </row>
    <row r="9" spans="1:13">
      <c r="A9" s="451" t="s">
        <v>283</v>
      </c>
      <c r="B9" s="461" t="s">
        <v>359</v>
      </c>
    </row>
    <row r="10" spans="1:13">
      <c r="A10" s="451" t="s">
        <v>297</v>
      </c>
      <c r="B10" s="461" t="s">
        <v>359</v>
      </c>
    </row>
    <row r="12" spans="1:13">
      <c r="B12" s="462" t="s">
        <v>361</v>
      </c>
    </row>
    <row r="13" spans="1:13">
      <c r="B13" s="463" t="s">
        <v>253</v>
      </c>
    </row>
    <row r="14" spans="1:13">
      <c r="B14" s="464" t="s">
        <v>359</v>
      </c>
    </row>
    <row r="17" spans="2:3" ht="26.4">
      <c r="B17" s="465" t="s">
        <v>243</v>
      </c>
      <c r="C17" s="465" t="s">
        <v>244</v>
      </c>
    </row>
    <row r="18" spans="2:3">
      <c r="B18" s="466" t="s">
        <v>246</v>
      </c>
      <c r="C18" s="466" t="s">
        <v>247</v>
      </c>
    </row>
    <row r="19" spans="2:3">
      <c r="B19" s="466" t="s">
        <v>248</v>
      </c>
      <c r="C19" s="466" t="s">
        <v>247</v>
      </c>
    </row>
    <row r="20" spans="2:3">
      <c r="B20" s="466" t="s">
        <v>246</v>
      </c>
      <c r="C20" s="466" t="s">
        <v>249</v>
      </c>
    </row>
    <row r="21" spans="2:3">
      <c r="B21" s="467" t="s">
        <v>248</v>
      </c>
      <c r="C21" s="467" t="s">
        <v>249</v>
      </c>
    </row>
    <row r="22" spans="2:3">
      <c r="B22" s="467" t="s">
        <v>250</v>
      </c>
      <c r="C22" s="467" t="s">
        <v>247</v>
      </c>
    </row>
    <row r="23" spans="2:3">
      <c r="B23" s="467" t="s">
        <v>246</v>
      </c>
      <c r="C23" s="467" t="s">
        <v>251</v>
      </c>
    </row>
    <row r="24" spans="2:3">
      <c r="B24" s="468" t="s">
        <v>250</v>
      </c>
      <c r="C24" s="468" t="s">
        <v>249</v>
      </c>
    </row>
    <row r="25" spans="2:3">
      <c r="B25" s="468" t="s">
        <v>248</v>
      </c>
      <c r="C25" s="468" t="s">
        <v>251</v>
      </c>
    </row>
    <row r="26" spans="2:3">
      <c r="B26" s="468" t="s">
        <v>250</v>
      </c>
      <c r="C26" s="468" t="s">
        <v>251</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B2:Y20"/>
  <sheetViews>
    <sheetView zoomScale="80" zoomScaleNormal="80" workbookViewId="0">
      <selection activeCell="T10" sqref="T10"/>
    </sheetView>
  </sheetViews>
  <sheetFormatPr defaultRowHeight="13.2"/>
  <cols>
    <col min="18" max="19" width="8.6640625" customWidth="1"/>
    <col min="23" max="23" width="1.6640625" style="70" customWidth="1"/>
    <col min="24" max="25" width="17.33203125" customWidth="1"/>
  </cols>
  <sheetData>
    <row r="2" spans="2:25" ht="20.25" customHeight="1">
      <c r="B2" s="966" t="s">
        <v>240</v>
      </c>
      <c r="C2" s="966"/>
      <c r="D2" s="966"/>
      <c r="E2" s="966"/>
      <c r="F2" s="966"/>
      <c r="G2" s="966"/>
      <c r="H2" s="966"/>
      <c r="I2" s="70"/>
      <c r="J2" s="966" t="s">
        <v>241</v>
      </c>
      <c r="K2" s="966"/>
      <c r="L2" s="966"/>
      <c r="M2" s="966"/>
      <c r="N2" s="966"/>
      <c r="O2" s="966"/>
      <c r="P2" s="966"/>
      <c r="R2" s="966" t="s">
        <v>242</v>
      </c>
      <c r="S2" s="966"/>
      <c r="T2" s="966"/>
      <c r="U2" s="966"/>
      <c r="V2" s="966"/>
      <c r="W2" s="97"/>
    </row>
    <row r="3" spans="2:25" ht="13.8" thickBot="1">
      <c r="B3" s="70"/>
      <c r="C3" s="70"/>
      <c r="D3" s="70"/>
      <c r="E3" s="70"/>
      <c r="F3" s="70"/>
      <c r="G3" s="70"/>
      <c r="H3" s="70"/>
      <c r="I3" s="70"/>
      <c r="J3" s="70"/>
      <c r="K3" s="70"/>
      <c r="L3" s="70"/>
      <c r="M3" s="70"/>
      <c r="N3" s="70"/>
      <c r="O3" s="70"/>
      <c r="P3" s="70"/>
      <c r="R3" s="70"/>
      <c r="S3" s="70"/>
      <c r="T3" s="70"/>
      <c r="U3" s="70"/>
      <c r="V3" s="70"/>
      <c r="X3" s="94" t="s">
        <v>243</v>
      </c>
      <c r="Y3" s="94" t="s">
        <v>244</v>
      </c>
    </row>
    <row r="4" spans="2:25" ht="39" customHeight="1" thickBot="1">
      <c r="B4" s="964" t="s">
        <v>245</v>
      </c>
      <c r="C4" s="46">
        <v>5</v>
      </c>
      <c r="D4" s="43">
        <f>COUNTIFS(RISK_table[Impact
1 to 5],C4,RISK_table[Likelihood
1 to 5],$D$9)</f>
        <v>0</v>
      </c>
      <c r="E4" s="42">
        <f>COUNTIFS(RISK_table[Impact
1 to 5],C4,RISK_table[Likelihood
1 to 5],$E$9)</f>
        <v>1</v>
      </c>
      <c r="F4" s="42">
        <f>COUNTIFS(RISK_table[Impact
1 to 5],C4,RISK_table[Likelihood
1 to 5],$F$9)</f>
        <v>4</v>
      </c>
      <c r="G4" s="42">
        <f>COUNTIFS(RISK_table[Impact
1 to 5],C4,RISK_table[Likelihood
1 to 5],$G$9)</f>
        <v>1</v>
      </c>
      <c r="H4" s="42">
        <f>COUNTIFS(RISK_table[Impact
1 to 5],C4,RISK_table[Likelihood
1 to 5],$H$9)</f>
        <v>0</v>
      </c>
      <c r="I4" s="70"/>
      <c r="J4" s="970" t="s">
        <v>245</v>
      </c>
      <c r="K4" s="25">
        <v>5</v>
      </c>
      <c r="L4" s="43">
        <f>COUNTIFS(RISK_table[Impact
1 to 52],$K4,RISK_table[Likelihood
1 to 53],$L$9)</f>
        <v>0</v>
      </c>
      <c r="M4" s="42">
        <f>COUNTIFS(RISK_table[Impact
1 to 52],$K4,RISK_table[Likelihood
1 to 53],$M$9)</f>
        <v>2</v>
      </c>
      <c r="N4" s="42">
        <f>COUNTIFS(RISK_table[Impact
1 to 52],$K4,RISK_table[Likelihood
1 to 53],$N$9)</f>
        <v>0</v>
      </c>
      <c r="O4" s="42">
        <f>COUNTIFS(RISK_table[Impact
1 to 52],$K4,RISK_table[Likelihood
1 to 53],$O$9)</f>
        <v>0</v>
      </c>
      <c r="P4" s="42">
        <f>COUNTIFS(RISK_table[Impact
1 to 52],$K4,RISK_table[Likelihood
1 to 53],$P$9)</f>
        <v>0</v>
      </c>
      <c r="R4" s="970" t="s">
        <v>100</v>
      </c>
      <c r="S4" s="25">
        <v>3</v>
      </c>
      <c r="T4" s="96">
        <f>COUNTIFS(Issues_table[Priority],$S4,Issues_table[Severity],$T$7)</f>
        <v>0</v>
      </c>
      <c r="U4" s="44">
        <f>COUNTIFS(Issues_table[Priority],$S4,Issues_table[Severity],$U$7)</f>
        <v>0</v>
      </c>
      <c r="V4" s="44">
        <f>COUNTIFS(Issues_table[Priority],$S4,Issues_table[Severity],$V$7)</f>
        <v>5</v>
      </c>
      <c r="W4" s="98"/>
      <c r="X4" s="91" t="s">
        <v>246</v>
      </c>
      <c r="Y4" s="91" t="s">
        <v>247</v>
      </c>
    </row>
    <row r="5" spans="2:25" ht="39" customHeight="1" thickBot="1">
      <c r="B5" s="965"/>
      <c r="C5" s="46">
        <v>4</v>
      </c>
      <c r="D5" s="45">
        <f>COUNTIFS(RISK_table[Impact
1 to 5],C5,RISK_table[Likelihood
1 to 5],$D$9)</f>
        <v>0</v>
      </c>
      <c r="E5" s="43">
        <f>COUNTIFS(RISK_table[Impact
1 to 5],C5,RISK_table[Likelihood
1 to 5],$E$9)</f>
        <v>1</v>
      </c>
      <c r="F5" s="43">
        <f>COUNTIFS(RISK_table[Impact
1 to 5],C5,RISK_table[Likelihood
1 to 5],$F$9)</f>
        <v>6</v>
      </c>
      <c r="G5" s="42">
        <f>COUNTIFS(RISK_table[Impact
1 to 5],C5,RISK_table[Likelihood
1 to 5],$G$9)</f>
        <v>2</v>
      </c>
      <c r="H5" s="42">
        <f>COUNTIFS(RISK_table[Impact
1 to 5],C5,RISK_table[Likelihood
1 to 5],$H$9)</f>
        <v>0</v>
      </c>
      <c r="I5" s="70"/>
      <c r="J5" s="971"/>
      <c r="K5" s="25">
        <v>4</v>
      </c>
      <c r="L5" s="45">
        <f>COUNTIFS(RISK_table[Impact
1 to 52],$K5,RISK_table[Likelihood
1 to 53],$L$9)</f>
        <v>1</v>
      </c>
      <c r="M5" s="43">
        <f>COUNTIFS(RISK_table[Impact
1 to 52],$K5,RISK_table[Likelihood
1 to 53],$M$9)</f>
        <v>1</v>
      </c>
      <c r="N5" s="43">
        <f>COUNTIFS(RISK_table[Impact
1 to 52],$K5,RISK_table[Likelihood
1 to 53],$N$9)</f>
        <v>2</v>
      </c>
      <c r="O5" s="42">
        <f>COUNTIFS(RISK_table[Impact
1 to 52],$K5,RISK_table[Likelihood
1 to 53],$O$9)</f>
        <v>0</v>
      </c>
      <c r="P5" s="42">
        <f>COUNTIFS(RISK_table[Impact
1 to 52],$K5,RISK_table[Likelihood
1 to 53],$P$9)</f>
        <v>0</v>
      </c>
      <c r="R5" s="971"/>
      <c r="S5" s="25">
        <v>2</v>
      </c>
      <c r="T5" s="95">
        <f>COUNTIFS(Issues_table[Priority],$S5,Issues_table[Severity],$T$7)</f>
        <v>0</v>
      </c>
      <c r="U5" s="96">
        <f>COUNTIFS(Issues_table[Priority],$S5,Issues_table[Severity],$U$7)</f>
        <v>15</v>
      </c>
      <c r="V5" s="44">
        <f>COUNTIFS(Issues_table[Priority],$S5,Issues_table[Severity],$V$7)</f>
        <v>3</v>
      </c>
      <c r="W5" s="98"/>
      <c r="X5" s="91" t="s">
        <v>248</v>
      </c>
      <c r="Y5" s="91" t="s">
        <v>247</v>
      </c>
    </row>
    <row r="6" spans="2:25" ht="39" customHeight="1" thickBot="1">
      <c r="B6" s="965"/>
      <c r="C6" s="46">
        <v>3</v>
      </c>
      <c r="D6" s="24">
        <f>COUNTIFS(RISK_table[Impact
1 to 5],C6,RISK_table[Likelihood
1 to 5],$D$9)</f>
        <v>0</v>
      </c>
      <c r="E6" s="45">
        <f>COUNTIFS(RISK_table[Impact
1 to 5],C6,RISK_table[Likelihood
1 to 5],$E$9)</f>
        <v>0</v>
      </c>
      <c r="F6" s="43">
        <f>COUNTIFS(RISK_table[Impact
1 to 5],C6,RISK_table[Likelihood
1 to 5],$F$9)</f>
        <v>6</v>
      </c>
      <c r="G6" s="43">
        <f>COUNTIFS(RISK_table[Impact
1 to 5],C6,RISK_table[Likelihood
1 to 5],$G$9)</f>
        <v>2</v>
      </c>
      <c r="H6" s="42">
        <f>COUNTIFS(RISK_table[Impact
1 to 5],C6,RISK_table[Likelihood
1 to 5],$H$9)</f>
        <v>1</v>
      </c>
      <c r="I6" s="70"/>
      <c r="J6" s="971"/>
      <c r="K6" s="25">
        <v>3</v>
      </c>
      <c r="L6" s="24">
        <f>COUNTIFS(RISK_table[Impact
1 to 52],$K6,RISK_table[Likelihood
1 to 53],$L$9)</f>
        <v>4</v>
      </c>
      <c r="M6" s="45">
        <f>COUNTIFS(RISK_table[Impact
1 to 52],$K6,RISK_table[Likelihood
1 to 53],$M$9)</f>
        <v>3</v>
      </c>
      <c r="N6" s="43">
        <f>COUNTIFS(RISK_table[Impact
1 to 52],$K6,RISK_table[Likelihood
1 to 53],$N$9)</f>
        <v>4</v>
      </c>
      <c r="O6" s="43">
        <f>COUNTIFS(RISK_table[Impact
1 to 52],$K6,RISK_table[Likelihood
1 to 53],$O$9)</f>
        <v>1</v>
      </c>
      <c r="P6" s="42">
        <f>COUNTIFS(RISK_table[Impact
1 to 52],$K6,RISK_table[Likelihood
1 to 53],$P$9)</f>
        <v>0</v>
      </c>
      <c r="R6" s="971"/>
      <c r="S6" s="26">
        <v>1</v>
      </c>
      <c r="T6" s="95">
        <f>COUNTIFS(Issues_table[Priority],$S6,Issues_table[Severity],$T$7)</f>
        <v>5</v>
      </c>
      <c r="U6" s="95">
        <f>COUNTIFS(Issues_table[Priority],$S6,Issues_table[Severity],$U$7)</f>
        <v>2</v>
      </c>
      <c r="V6" s="96">
        <f>COUNTIFS(Issues_table[Priority],$S6,Issues_table[Severity],$V$7)</f>
        <v>0</v>
      </c>
      <c r="W6" s="98"/>
      <c r="X6" s="91" t="s">
        <v>246</v>
      </c>
      <c r="Y6" s="91" t="s">
        <v>249</v>
      </c>
    </row>
    <row r="7" spans="2:25" ht="39" customHeight="1" thickBot="1">
      <c r="B7" s="965"/>
      <c r="C7" s="46">
        <v>2</v>
      </c>
      <c r="D7" s="707">
        <f>COUNTIFS(RISK_table[Impact
1 to 5],C7,RISK_table[Likelihood
1 to 5],$D$9)</f>
        <v>0</v>
      </c>
      <c r="E7" s="24">
        <f>COUNTIFS(RISK_table[Impact
1 to 5],C7,RISK_table[Likelihood
1 to 5],$E$9)</f>
        <v>0</v>
      </c>
      <c r="F7" s="45">
        <f>COUNTIFS(RISK_table[Impact
1 to 5],C7,RISK_table[Likelihood
1 to 5],$F$9)</f>
        <v>1</v>
      </c>
      <c r="G7" s="43">
        <f>COUNTIFS(RISK_table[Impact
1 to 5],C7,RISK_table[Likelihood
1 to 5],$G$9)</f>
        <v>0</v>
      </c>
      <c r="H7" s="43">
        <f>COUNTIFS(RISK_table[Impact
1 to 5],C7,RISK_table[Likelihood
1 to 5],$H$9)</f>
        <v>0</v>
      </c>
      <c r="I7" s="70"/>
      <c r="J7" s="971"/>
      <c r="K7" s="25">
        <v>2</v>
      </c>
      <c r="L7" s="707">
        <f>COUNTIFS(RISK_table[Impact
1 to 52],$K7,RISK_table[Likelihood
1 to 53],$L$9)</f>
        <v>1</v>
      </c>
      <c r="M7" s="24">
        <f>COUNTIFS(RISK_table[Impact
1 to 52],$K7,RISK_table[Likelihood
1 to 53],$M$9)</f>
        <v>6</v>
      </c>
      <c r="N7" s="45">
        <f>COUNTIFS(RISK_table[Impact
1 to 52],$K7,RISK_table[Likelihood
1 to 53],$N$9)</f>
        <v>0</v>
      </c>
      <c r="O7" s="43">
        <f>COUNTIFS(RISK_table[Impact
1 to 52],$K7,RISK_table[Likelihood
1 to 53],$O$9)</f>
        <v>0</v>
      </c>
      <c r="P7" s="43">
        <f>COUNTIFS(RISK_table[Impact
1 to 52],$K7,RISK_table[Likelihood
1 to 53],$P$9)</f>
        <v>0</v>
      </c>
      <c r="R7" s="971"/>
      <c r="S7" s="27"/>
      <c r="T7" s="28">
        <v>1</v>
      </c>
      <c r="U7" s="28">
        <v>2</v>
      </c>
      <c r="V7" s="28">
        <v>3</v>
      </c>
      <c r="W7" s="99"/>
      <c r="X7" s="92" t="s">
        <v>248</v>
      </c>
      <c r="Y7" s="92" t="s">
        <v>249</v>
      </c>
    </row>
    <row r="8" spans="2:25" ht="39" customHeight="1" thickBot="1">
      <c r="B8" s="965"/>
      <c r="C8" s="47">
        <v>1</v>
      </c>
      <c r="D8" s="707">
        <f>COUNTIFS(RISK_table[Impact
1 to 5],C8,RISK_table[Likelihood
1 to 5],$D$9)</f>
        <v>0</v>
      </c>
      <c r="E8" s="707">
        <f>COUNTIFS(RISK_table[Impact
1 to 5],C8,RISK_table[Likelihood
1 to 5],$E$9)</f>
        <v>0</v>
      </c>
      <c r="F8" s="24">
        <f>COUNTIFS(RISK_table[Impact
1 to 5],C8,RISK_table[Likelihood
1 to 5],$F$9)</f>
        <v>0</v>
      </c>
      <c r="G8" s="45">
        <f>COUNTIFS(RISK_table[Impact
1 to 5],C8,RISK_table[Likelihood
1 to 5],$G$9)</f>
        <v>0</v>
      </c>
      <c r="H8" s="45">
        <f>COUNTIFS(RISK_table[Impact
1 to 5],C8,RISK_table[Likelihood
1 to 5],$H$9)</f>
        <v>0</v>
      </c>
      <c r="I8" s="70"/>
      <c r="J8" s="971"/>
      <c r="K8" s="26">
        <v>1</v>
      </c>
      <c r="L8" s="707">
        <f>COUNTIFS(RISK_table[Impact
1 to 52],$K8,RISK_table[Likelihood
1 to 53],$L$9)</f>
        <v>0</v>
      </c>
      <c r="M8" s="707">
        <f>COUNTIFS(RISK_table[Impact
1 to 52],$K8,RISK_table[Likelihood
1 to 53],$M$9)</f>
        <v>0</v>
      </c>
      <c r="N8" s="24">
        <f>COUNTIFS(RISK_table[Impact
1 to 52],$K8,RISK_table[Likelihood
1 to 53],$N$9)</f>
        <v>0</v>
      </c>
      <c r="O8" s="45">
        <f>COUNTIFS(RISK_table[Impact
1 to 52],$K8,RISK_table[Likelihood
1 to 53],$O$9)</f>
        <v>0</v>
      </c>
      <c r="P8" s="45">
        <f>COUNTIFS(RISK_table[Impact
1 to 52],$K8,RISK_table[Likelihood
1 to 53],$P$9)</f>
        <v>0</v>
      </c>
      <c r="R8" s="101"/>
      <c r="S8" s="972" t="s">
        <v>101</v>
      </c>
      <c r="T8" s="972"/>
      <c r="U8" s="972"/>
      <c r="V8" s="973"/>
      <c r="W8" s="100"/>
      <c r="X8" s="92" t="s">
        <v>250</v>
      </c>
      <c r="Y8" s="92" t="s">
        <v>247</v>
      </c>
    </row>
    <row r="9" spans="2:25" ht="39" customHeight="1" thickBot="1">
      <c r="B9" s="965"/>
      <c r="C9" s="27"/>
      <c r="D9" s="23">
        <v>1</v>
      </c>
      <c r="E9" s="23">
        <v>2</v>
      </c>
      <c r="F9" s="23">
        <v>3</v>
      </c>
      <c r="G9" s="23">
        <v>4</v>
      </c>
      <c r="H9" s="23">
        <v>5</v>
      </c>
      <c r="I9" s="70"/>
      <c r="J9" s="971"/>
      <c r="K9" s="27"/>
      <c r="L9" s="28">
        <v>1</v>
      </c>
      <c r="M9" s="28">
        <v>2</v>
      </c>
      <c r="N9" s="28">
        <v>3</v>
      </c>
      <c r="O9" s="28">
        <v>4</v>
      </c>
      <c r="P9" s="28">
        <v>5</v>
      </c>
      <c r="X9" s="92" t="s">
        <v>246</v>
      </c>
      <c r="Y9" s="92" t="s">
        <v>251</v>
      </c>
    </row>
    <row r="10" spans="2:25" ht="39" customHeight="1" thickBot="1">
      <c r="B10" s="967" t="s">
        <v>252</v>
      </c>
      <c r="C10" s="968"/>
      <c r="D10" s="968"/>
      <c r="E10" s="968"/>
      <c r="F10" s="968"/>
      <c r="G10" s="968"/>
      <c r="H10" s="969"/>
      <c r="I10" s="70"/>
      <c r="J10" s="967" t="s">
        <v>252</v>
      </c>
      <c r="K10" s="968"/>
      <c r="L10" s="968"/>
      <c r="M10" s="968"/>
      <c r="N10" s="968"/>
      <c r="O10" s="968"/>
      <c r="P10" s="969"/>
      <c r="X10" s="93" t="s">
        <v>250</v>
      </c>
      <c r="Y10" s="93" t="s">
        <v>249</v>
      </c>
    </row>
    <row r="11" spans="2:25">
      <c r="X11" s="93" t="s">
        <v>248</v>
      </c>
      <c r="Y11" s="93" t="s">
        <v>251</v>
      </c>
    </row>
    <row r="12" spans="2:25" ht="13.8" thickBot="1">
      <c r="X12" s="93" t="s">
        <v>250</v>
      </c>
      <c r="Y12" s="93" t="s">
        <v>251</v>
      </c>
    </row>
    <row r="13" spans="2:25" ht="13.8" thickBot="1">
      <c r="E13" s="974" t="s">
        <v>245</v>
      </c>
      <c r="F13" s="84" t="s">
        <v>69</v>
      </c>
      <c r="G13" s="25">
        <v>5</v>
      </c>
      <c r="H13" s="74">
        <v>15</v>
      </c>
      <c r="I13" s="75">
        <v>19</v>
      </c>
      <c r="J13" s="75">
        <v>22</v>
      </c>
      <c r="K13" s="75">
        <v>24</v>
      </c>
      <c r="L13" s="75">
        <v>25</v>
      </c>
    </row>
    <row r="14" spans="2:25" ht="13.8" thickBot="1">
      <c r="E14" s="975"/>
      <c r="F14" s="85" t="s">
        <v>70</v>
      </c>
      <c r="G14" s="25">
        <v>4</v>
      </c>
      <c r="H14" s="76">
        <v>10</v>
      </c>
      <c r="I14" s="74">
        <v>14</v>
      </c>
      <c r="J14" s="74">
        <v>18</v>
      </c>
      <c r="K14" s="75">
        <v>21</v>
      </c>
      <c r="L14" s="75">
        <v>23</v>
      </c>
    </row>
    <row r="15" spans="2:25" ht="13.8" thickBot="1">
      <c r="E15" s="975"/>
      <c r="F15" s="85" t="s">
        <v>253</v>
      </c>
      <c r="G15" s="25">
        <v>3</v>
      </c>
      <c r="H15" s="77">
        <v>6</v>
      </c>
      <c r="I15" s="76">
        <v>9</v>
      </c>
      <c r="J15" s="74">
        <v>13</v>
      </c>
      <c r="K15" s="74">
        <v>17</v>
      </c>
      <c r="L15" s="75">
        <v>20</v>
      </c>
    </row>
    <row r="16" spans="2:25" ht="13.8" thickBot="1">
      <c r="E16" s="975"/>
      <c r="F16" s="85" t="s">
        <v>254</v>
      </c>
      <c r="G16" s="25">
        <v>2</v>
      </c>
      <c r="H16" s="78">
        <v>3</v>
      </c>
      <c r="I16" s="77">
        <v>5</v>
      </c>
      <c r="J16" s="76">
        <v>8</v>
      </c>
      <c r="K16" s="74">
        <v>12</v>
      </c>
      <c r="L16" s="74">
        <v>16</v>
      </c>
    </row>
    <row r="17" spans="5:12" ht="13.8" thickBot="1">
      <c r="E17" s="975"/>
      <c r="F17" s="85" t="s">
        <v>255</v>
      </c>
      <c r="G17" s="26">
        <v>1</v>
      </c>
      <c r="H17" s="79">
        <v>1</v>
      </c>
      <c r="I17" s="79">
        <v>2</v>
      </c>
      <c r="J17" s="80">
        <v>4</v>
      </c>
      <c r="K17" s="81">
        <v>7</v>
      </c>
      <c r="L17" s="81">
        <v>11</v>
      </c>
    </row>
    <row r="18" spans="5:12" ht="13.8" thickBot="1">
      <c r="E18" s="975"/>
      <c r="F18" s="85"/>
      <c r="G18" s="82"/>
      <c r="H18" s="28">
        <v>1</v>
      </c>
      <c r="I18" s="28">
        <v>2</v>
      </c>
      <c r="J18" s="28">
        <v>3</v>
      </c>
      <c r="K18" s="28">
        <v>4</v>
      </c>
      <c r="L18" s="28">
        <v>5</v>
      </c>
    </row>
    <row r="19" spans="5:12" ht="27" thickBot="1">
      <c r="E19" s="975"/>
      <c r="F19" s="83"/>
      <c r="G19" s="86"/>
      <c r="H19" s="87" t="s">
        <v>256</v>
      </c>
      <c r="I19" s="87" t="s">
        <v>257</v>
      </c>
      <c r="J19" s="87" t="s">
        <v>258</v>
      </c>
      <c r="K19" s="87" t="s">
        <v>259</v>
      </c>
      <c r="L19" s="88" t="s">
        <v>260</v>
      </c>
    </row>
    <row r="20" spans="5:12" ht="21" thickBot="1">
      <c r="E20" s="83"/>
      <c r="F20" s="976" t="s">
        <v>252</v>
      </c>
      <c r="G20" s="976"/>
      <c r="H20" s="976"/>
      <c r="I20" s="976"/>
      <c r="J20" s="976"/>
      <c r="K20" s="976"/>
      <c r="L20" s="977"/>
    </row>
  </sheetData>
  <customSheetViews>
    <customSheetView guid="{C2C64AFF-719D-4BC9-890F-147B4447CC0D}" scale="70" fitToPage="1">
      <selection activeCell="D17" sqref="D17:M17"/>
      <pageMargins left="0" right="0" top="0" bottom="0" header="0" footer="0"/>
      <pageSetup paperSize="9" scale="61" orientation="landscape" r:id="rId1"/>
    </customSheetView>
    <customSheetView guid="{CFB060A1-0877-4347-95EC-FD6452ADBD74}" scale="70" fitToPage="1">
      <selection activeCell="K9" sqref="K9"/>
      <pageMargins left="0" right="0" top="0" bottom="0" header="0" footer="0"/>
      <pageSetup paperSize="9" scale="61" orientation="landscape" r:id="rId2"/>
    </customSheetView>
  </customSheetViews>
  <mergeCells count="11">
    <mergeCell ref="R2:V2"/>
    <mergeCell ref="R4:R7"/>
    <mergeCell ref="S8:V8"/>
    <mergeCell ref="E13:E19"/>
    <mergeCell ref="F20:L20"/>
    <mergeCell ref="J2:P2"/>
    <mergeCell ref="B4:B9"/>
    <mergeCell ref="B2:H2"/>
    <mergeCell ref="B10:H10"/>
    <mergeCell ref="J10:P10"/>
    <mergeCell ref="J4:J9"/>
  </mergeCells>
  <pageMargins left="0.70866141732283472" right="0.70866141732283472" top="0.74803149606299213" bottom="0.74803149606299213" header="0.31496062992125984" footer="0.31496062992125984"/>
  <pageSetup paperSize="9" orientation="landscape"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95280-3F73-4071-95D3-E46C170568C3}">
  <sheetPr codeName="Sheet21"/>
  <dimension ref="A1:C23"/>
  <sheetViews>
    <sheetView topLeftCell="E1" workbookViewId="0">
      <selection activeCell="J2" sqref="J2"/>
    </sheetView>
  </sheetViews>
  <sheetFormatPr defaultRowHeight="13.2"/>
  <cols>
    <col min="1" max="1" width="20.6640625" bestFit="1" customWidth="1"/>
    <col min="2" max="2" width="14.77734375" style="515" bestFit="1" customWidth="1"/>
    <col min="3" max="3" width="19.44140625" bestFit="1" customWidth="1"/>
    <col min="10" max="10" width="25.33203125" customWidth="1"/>
    <col min="11" max="11" width="12.88671875" bestFit="1" customWidth="1"/>
  </cols>
  <sheetData>
    <row r="1" spans="1:3" ht="26.4">
      <c r="A1" s="514" t="s">
        <v>1663</v>
      </c>
      <c r="B1" t="s">
        <v>1665</v>
      </c>
      <c r="C1" t="s">
        <v>1666</v>
      </c>
    </row>
    <row r="2" spans="1:3">
      <c r="A2" s="90" t="s">
        <v>1660</v>
      </c>
      <c r="B2" s="515">
        <v>12000000</v>
      </c>
      <c r="C2" s="515">
        <v>18400000</v>
      </c>
    </row>
    <row r="3" spans="1:3">
      <c r="A3" s="90" t="s">
        <v>1662</v>
      </c>
      <c r="B3" s="515">
        <v>154600000</v>
      </c>
      <c r="C3" s="515">
        <v>111100000</v>
      </c>
    </row>
    <row r="4" spans="1:3" ht="26.4">
      <c r="A4" s="90" t="s">
        <v>1658</v>
      </c>
      <c r="B4" s="515">
        <v>600000</v>
      </c>
      <c r="C4" s="515">
        <v>9400000</v>
      </c>
    </row>
    <row r="5" spans="1:3">
      <c r="A5" s="90" t="s">
        <v>1656</v>
      </c>
      <c r="B5" s="515">
        <v>18000000</v>
      </c>
      <c r="C5" s="515">
        <v>6800000</v>
      </c>
    </row>
    <row r="6" spans="1:3">
      <c r="A6" s="90" t="s">
        <v>1340</v>
      </c>
      <c r="B6" s="515">
        <v>0</v>
      </c>
      <c r="C6" s="515">
        <v>0</v>
      </c>
    </row>
    <row r="7" spans="1:3">
      <c r="A7" s="90" t="s">
        <v>1650</v>
      </c>
      <c r="B7" s="515">
        <v>27000000</v>
      </c>
      <c r="C7" s="515">
        <v>26400001.800000001</v>
      </c>
    </row>
    <row r="8" spans="1:3">
      <c r="A8" s="90" t="s">
        <v>1652</v>
      </c>
      <c r="B8" s="515">
        <v>0</v>
      </c>
      <c r="C8" s="515">
        <v>0</v>
      </c>
    </row>
    <row r="9" spans="1:3">
      <c r="A9" s="90" t="s">
        <v>1664</v>
      </c>
      <c r="B9" s="515">
        <v>212200000</v>
      </c>
      <c r="C9" s="515">
        <v>172100001.80000001</v>
      </c>
    </row>
    <row r="10" spans="1:3">
      <c r="B10"/>
    </row>
    <row r="11" spans="1:3">
      <c r="B11"/>
    </row>
    <row r="12" spans="1:3">
      <c r="B12"/>
    </row>
    <row r="13" spans="1:3">
      <c r="B13"/>
    </row>
    <row r="14" spans="1:3">
      <c r="B14"/>
    </row>
    <row r="15" spans="1:3">
      <c r="B15"/>
    </row>
    <row r="16" spans="1:3">
      <c r="B16"/>
    </row>
    <row r="17" spans="2:2">
      <c r="B17"/>
    </row>
    <row r="18" spans="2:2">
      <c r="B18"/>
    </row>
    <row r="19" spans="2:2">
      <c r="B19"/>
    </row>
    <row r="20" spans="2:2">
      <c r="B20"/>
    </row>
    <row r="21" spans="2:2">
      <c r="B21"/>
    </row>
    <row r="22" spans="2:2">
      <c r="B22"/>
    </row>
    <row r="23" spans="2:2">
      <c r="B23"/>
    </row>
  </sheetData>
  <pageMargins left="0.7" right="0.7" top="0.75" bottom="0.75" header="0.3" footer="0.3"/>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9"/>
  <sheetViews>
    <sheetView zoomScale="80" zoomScaleNormal="80" workbookViewId="0">
      <selection activeCell="A5" sqref="A5"/>
    </sheetView>
  </sheetViews>
  <sheetFormatPr defaultColWidth="8.6640625" defaultRowHeight="13.8"/>
  <cols>
    <col min="1" max="1" width="13.6640625" style="6" customWidth="1"/>
    <col min="2" max="2" width="57.33203125" style="6" customWidth="1"/>
    <col min="3" max="3" width="23.6640625" style="6" customWidth="1"/>
    <col min="4" max="4" width="14.6640625" style="6" customWidth="1"/>
    <col min="5" max="5" width="50" style="6" customWidth="1"/>
    <col min="6" max="6" width="15.33203125" style="6" customWidth="1"/>
    <col min="7" max="16384" width="8.6640625" style="6"/>
  </cols>
  <sheetData>
    <row r="1" spans="1:6" s="22" customFormat="1" ht="43.5" customHeight="1">
      <c r="A1" s="3" t="s">
        <v>363</v>
      </c>
      <c r="B1" s="10"/>
      <c r="C1" s="10"/>
      <c r="D1" s="10"/>
      <c r="E1" s="10"/>
      <c r="F1" s="11"/>
    </row>
    <row r="2" spans="1:6" s="32" customFormat="1" ht="27.6">
      <c r="A2" s="29" t="s">
        <v>364</v>
      </c>
      <c r="B2" s="30" t="s">
        <v>365</v>
      </c>
      <c r="C2" s="31" t="s">
        <v>228</v>
      </c>
      <c r="D2" s="31" t="s">
        <v>366</v>
      </c>
      <c r="E2" s="30" t="s">
        <v>239</v>
      </c>
      <c r="F2" s="29" t="s">
        <v>105</v>
      </c>
    </row>
    <row r="3" spans="1:6">
      <c r="A3" s="7"/>
      <c r="B3" s="8"/>
      <c r="C3" s="8"/>
      <c r="D3" s="8"/>
      <c r="E3" s="8"/>
      <c r="F3" s="9"/>
    </row>
    <row r="4" spans="1:6">
      <c r="A4" s="7"/>
      <c r="B4" s="8"/>
      <c r="C4" s="8"/>
      <c r="D4" s="8"/>
      <c r="E4" s="8"/>
      <c r="F4" s="9"/>
    </row>
    <row r="5" spans="1:6">
      <c r="A5" s="7"/>
      <c r="B5" s="8"/>
      <c r="C5" s="8"/>
      <c r="D5" s="8"/>
      <c r="E5" s="8"/>
      <c r="F5" s="9"/>
    </row>
    <row r="6" spans="1:6">
      <c r="A6" s="7"/>
      <c r="B6" s="8"/>
      <c r="C6" s="8"/>
      <c r="D6" s="8"/>
      <c r="E6" s="8"/>
      <c r="F6" s="9"/>
    </row>
    <row r="7" spans="1:6">
      <c r="A7" s="7"/>
      <c r="B7" s="8"/>
      <c r="C7" s="8"/>
      <c r="D7" s="8"/>
      <c r="E7" s="8"/>
      <c r="F7" s="9"/>
    </row>
    <row r="8" spans="1:6">
      <c r="A8" s="7"/>
      <c r="B8" s="8"/>
      <c r="C8" s="8"/>
      <c r="D8" s="8"/>
      <c r="E8" s="8"/>
      <c r="F8" s="9"/>
    </row>
    <row r="9" spans="1:6">
      <c r="A9" s="7"/>
      <c r="B9" s="8"/>
      <c r="C9" s="8"/>
      <c r="D9" s="8"/>
      <c r="E9" s="8"/>
      <c r="F9" s="9"/>
    </row>
    <row r="10" spans="1:6">
      <c r="A10" s="7"/>
      <c r="B10" s="8"/>
      <c r="C10" s="8"/>
      <c r="D10" s="8"/>
      <c r="E10" s="8"/>
      <c r="F10" s="9"/>
    </row>
    <row r="11" spans="1:6">
      <c r="A11" s="7"/>
      <c r="B11" s="8"/>
      <c r="C11" s="8"/>
      <c r="D11" s="8"/>
      <c r="E11" s="8"/>
      <c r="F11" s="9"/>
    </row>
    <row r="12" spans="1:6">
      <c r="A12" s="7"/>
      <c r="B12" s="8"/>
      <c r="C12" s="8"/>
      <c r="D12" s="8"/>
      <c r="E12" s="8"/>
      <c r="F12" s="9"/>
    </row>
    <row r="13" spans="1:6">
      <c r="A13" s="7"/>
      <c r="B13" s="8"/>
      <c r="C13" s="8"/>
      <c r="D13" s="8"/>
      <c r="E13" s="8"/>
      <c r="F13" s="9"/>
    </row>
    <row r="14" spans="1:6">
      <c r="A14" s="7"/>
      <c r="B14" s="8"/>
      <c r="C14" s="8"/>
      <c r="D14" s="8"/>
      <c r="E14" s="8"/>
      <c r="F14" s="9"/>
    </row>
    <row r="15" spans="1:6">
      <c r="A15" s="7"/>
      <c r="B15" s="8"/>
      <c r="C15" s="8"/>
      <c r="D15" s="8"/>
      <c r="E15" s="8"/>
      <c r="F15" s="9"/>
    </row>
    <row r="16" spans="1:6">
      <c r="A16" s="7"/>
      <c r="B16" s="8"/>
      <c r="C16" s="8"/>
      <c r="D16" s="8"/>
      <c r="E16" s="8"/>
      <c r="F16" s="9"/>
    </row>
    <row r="17" spans="1:6">
      <c r="A17" s="7"/>
      <c r="B17" s="8"/>
      <c r="C17" s="8"/>
      <c r="D17" s="8"/>
      <c r="E17" s="8"/>
      <c r="F17" s="9"/>
    </row>
    <row r="18" spans="1:6">
      <c r="A18" s="7"/>
      <c r="B18" s="8"/>
      <c r="C18" s="8"/>
      <c r="D18" s="8"/>
      <c r="E18" s="8"/>
      <c r="F18" s="9"/>
    </row>
    <row r="19" spans="1:6">
      <c r="A19" s="7"/>
      <c r="B19" s="8"/>
      <c r="C19" s="8"/>
      <c r="D19" s="8"/>
      <c r="E19" s="8"/>
      <c r="F19" s="9"/>
    </row>
  </sheetData>
  <customSheetViews>
    <customSheetView guid="{C2C64AFF-719D-4BC9-890F-147B4447CC0D}" scale="80" state="hidden">
      <selection activeCell="A4" sqref="A4"/>
      <pageMargins left="0" right="0" top="0" bottom="0" header="0" footer="0"/>
      <pageSetup paperSize="0" orientation="portrait" horizontalDpi="0" verticalDpi="0" copies="0"/>
    </customSheetView>
    <customSheetView guid="{CFB060A1-0877-4347-95EC-FD6452ADBD74}" scale="80" state="hidden">
      <selection activeCell="A4" sqref="A4"/>
      <pageMargins left="0" right="0" top="0" bottom="0" header="0" footer="0"/>
      <pageSetup paperSize="0" orientation="portrait" horizontalDpi="0" verticalDpi="0" copies="0"/>
    </customSheetView>
  </customSheetView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73C7-BE41-4687-9111-3F09EBE76112}">
  <sheetPr codeName="Sheet25"/>
  <dimension ref="A1:A4"/>
  <sheetViews>
    <sheetView workbookViewId="0"/>
  </sheetViews>
  <sheetFormatPr defaultRowHeight="13.2"/>
  <sheetData>
    <row r="1" spans="1:1">
      <c r="A1" t="s">
        <v>1251</v>
      </c>
    </row>
    <row r="2" spans="1:1">
      <c r="A2" t="s">
        <v>1252</v>
      </c>
    </row>
    <row r="3" spans="1:1">
      <c r="A3" t="s">
        <v>1253</v>
      </c>
    </row>
    <row r="4" spans="1:1">
      <c r="A4" t="s">
        <v>1254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142cfecf-a67e-49a6-b53d-043076f42ff3" xsi:nil="true"/>
    <lcf76f155ced4ddcb4097134ff3c332f xmlns="a108b730-cace-438a-9a31-94639ffe5e3c">
      <Terms xmlns="http://schemas.microsoft.com/office/infopath/2007/PartnerControls"/>
    </lcf76f155ced4ddcb4097134ff3c332f>
    <RecievedDocs xmlns="a108b730-cace-438a-9a31-94639ffe5e3c">true</RecievedDocs>
  </documentManagement>
</p:properties>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xml version="1.0" encoding="utf-8"?>
<ct:contentTypeSchema xmlns:ct="http://schemas.microsoft.com/office/2006/metadata/contentType" xmlns:ma="http://schemas.microsoft.com/office/2006/metadata/properties/metaAttributes" ct:_="" ma:_="" ma:contentTypeName="Document" ma:contentTypeID="0x010100EA54D2627BA263418E595C489DE30E30" ma:contentTypeVersion="16" ma:contentTypeDescription="Create a new document." ma:contentTypeScope="" ma:versionID="a6ad1aeadc44c00cf51617728478b7de">
  <xsd:schema xmlns:xsd="http://www.w3.org/2001/XMLSchema" xmlns:xs="http://www.w3.org/2001/XMLSchema" xmlns:p="http://schemas.microsoft.com/office/2006/metadata/properties" xmlns:ns2="a108b730-cace-438a-9a31-94639ffe5e3c" xmlns:ns3="142cfecf-a67e-49a6-b53d-043076f42ff3" targetNamespace="http://schemas.microsoft.com/office/2006/metadata/properties" ma:root="true" ma:fieldsID="334bf14f5b4b8d3dcbc116ed1adf5f51" ns2:_="" ns3:_="">
    <xsd:import namespace="a108b730-cace-438a-9a31-94639ffe5e3c"/>
    <xsd:import namespace="142cfecf-a67e-49a6-b53d-043076f42ff3"/>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Location" minOccurs="0"/>
                <xsd:element ref="ns2:MediaServiceObjectDetectorVersions" minOccurs="0"/>
                <xsd:element ref="ns2:MediaServiceSearchProperties" minOccurs="0"/>
                <xsd:element ref="ns2:RecievedDoc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8b730-cace-438a-9a31-94639ffe5e3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c4dd2099-9045-4afe-b326-2569af220673"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RecievedDocs" ma:index="23" nillable="true" ma:displayName="Recieved Docs" ma:default="1" ma:format="Dropdown" ma:internalName="RecievedDocs">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42cfecf-a67e-49a6-b53d-043076f42ff3"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5554ea5f-3132-4704-81d8-d3f4d0a12ba8}" ma:internalName="TaxCatchAll" ma:showField="CatchAllData" ma:web="142cfecf-a67e-49a6-b53d-043076f42ff3">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2.xml>�� 
</file>

<file path=customXml/item13.xml>�� 
</file>

<file path=customXml/item14.xml>�� 
</file>

<file path=customXml/item15.xml>�� 
</file>

<file path=customXml/item16.xml><?xml version="1.0" encoding="utf-8"?>
<?mso-contentType ?>
<FormTemplates xmlns="http://schemas.microsoft.com/sharepoint/v3/contenttype/forms">
  <Display>DocumentLibraryForm</Display>
  <Edit>DocumentLibraryForm</Edit>
  <New>DocumentLibraryForm</New>
</FormTemplates>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202BD95D-D4F3-4A3A-A220-DD0025586989}">
  <ds:schemaRefs/>
</ds:datastoreItem>
</file>

<file path=customXml/itemProps2.xml><?xml version="1.0" encoding="utf-8"?>
<ds:datastoreItem xmlns:ds="http://schemas.openxmlformats.org/officeDocument/2006/customXml" ds:itemID="{B12BC704-DD0E-4787-BDFE-7F84B4BAD2C5}">
  <ds:schemaRefs>
    <ds:schemaRef ds:uri="http://schemas.microsoft.com/office/2006/metadata/properties"/>
    <ds:schemaRef ds:uri="http://schemas.microsoft.com/office/infopath/2007/PartnerControls"/>
    <ds:schemaRef ds:uri="142cfecf-a67e-49a6-b53d-043076f42ff3"/>
    <ds:schemaRef ds:uri="a108b730-cace-438a-9a31-94639ffe5e3c"/>
  </ds:schemaRefs>
</ds:datastoreItem>
</file>

<file path=customXml/itemProps3.xml><?xml version="1.0" encoding="utf-8"?>
<ds:datastoreItem xmlns:ds="http://schemas.openxmlformats.org/officeDocument/2006/customXml" ds:itemID="{CFAE15CB-5728-4AD7-BB93-43C801484382}">
  <ds:schemaRefs/>
</ds:datastoreItem>
</file>

<file path=customXml/itemProps4.xml><?xml version="1.0" encoding="utf-8"?>
<ds:datastoreItem xmlns:ds="http://schemas.openxmlformats.org/officeDocument/2006/customXml" ds:itemID="{A2E97B54-2B54-416F-AD8A-603118CFD066}">
  <ds:schemaRefs/>
</ds:datastoreItem>
</file>

<file path=customXml/itemProps5.xml><?xml version="1.0" encoding="utf-8"?>
<ds:datastoreItem xmlns:ds="http://schemas.openxmlformats.org/officeDocument/2006/customXml" ds:itemID="{D1E677BE-6D9A-40B1-A535-557A8D8CB7B0}">
  <ds:schemaRefs/>
</ds:datastoreItem>
</file>

<file path=customXml/itemProps6.xml><?xml version="1.0" encoding="utf-8"?>
<ds:datastoreItem xmlns:ds="http://schemas.openxmlformats.org/officeDocument/2006/customXml" ds:itemID="{CCEB9CB5-F8AE-48BD-A458-9196928EEC16}">
  <ds:schemaRefs/>
</ds:datastoreItem>
</file>

<file path=customXml/itemProps7.xml><?xml version="1.0" encoding="utf-8"?>
<ds:datastoreItem xmlns:ds="http://schemas.openxmlformats.org/officeDocument/2006/customXml" ds:itemID="{A0A47E55-EFDD-4D48-B64E-90E303F1423B}">
  <ds:schemaRefs/>
</ds:datastoreItem>
</file>

<file path=customXml/itemProps8.xml><?xml version="1.0" encoding="utf-8"?>
<ds:datastoreItem xmlns:ds="http://schemas.openxmlformats.org/officeDocument/2006/customXml" ds:itemID="{559E03E3-4F38-4A7D-A2CE-5664461FAB63}">
  <ds:schemaRefs/>
</ds:datastoreItem>
</file>

<file path=customXml/itemProps9.xml><?xml version="1.0" encoding="utf-8"?>
<ds:datastoreItem xmlns:ds="http://schemas.openxmlformats.org/officeDocument/2006/customXml" ds:itemID="{6C836735-04A3-47B1-9395-20644043DA7A}">
  <ds:schemaRefs/>
</ds:datastoreItem>
</file>

<file path=customXml/itemProps10.xml><?xml version="1.0" encoding="utf-8"?>
<ds:datastoreItem xmlns:ds="http://schemas.openxmlformats.org/officeDocument/2006/customXml" ds:itemID="{BFFFB4F5-022C-492E-BB16-F60D726BD17B}">
  <ds:schemaRefs/>
</ds:datastoreItem>
</file>

<file path=customXml/itemProps11.xml><?xml version="1.0" encoding="utf-8"?>
<ds:datastoreItem xmlns:ds="http://schemas.openxmlformats.org/officeDocument/2006/customXml" ds:itemID="{367E0114-6BEB-4254-A256-3E3D91F4AE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08b730-cace-438a-9a31-94639ffe5e3c"/>
    <ds:schemaRef ds:uri="142cfecf-a67e-49a6-b53d-043076f42ff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2.xml><?xml version="1.0" encoding="utf-8"?>
<ds:datastoreItem xmlns:ds="http://schemas.openxmlformats.org/officeDocument/2006/customXml" ds:itemID="{A92050DD-A532-44C4-8314-95D4A59D6F46}">
  <ds:schemaRefs/>
</ds:datastoreItem>
</file>

<file path=customXml/itemProps13.xml><?xml version="1.0" encoding="utf-8"?>
<ds:datastoreItem xmlns:ds="http://schemas.openxmlformats.org/officeDocument/2006/customXml" ds:itemID="{DD6671B5-932C-4DD5-95B3-35D2ADE9A0C8}">
  <ds:schemaRefs>
    <ds:schemaRef ds:uri="http://schemas.microsoft.com/DataMashup"/>
  </ds:schemaRefs>
</ds:datastoreItem>
</file>

<file path=customXml/itemProps14.xml><?xml version="1.0" encoding="utf-8"?>
<ds:datastoreItem xmlns:ds="http://schemas.openxmlformats.org/officeDocument/2006/customXml" ds:itemID="{11D68B31-43F5-4E8B-BB16-B3A1793D4F0E}">
  <ds:schemaRefs/>
</ds:datastoreItem>
</file>

<file path=customXml/itemProps15.xml><?xml version="1.0" encoding="utf-8"?>
<ds:datastoreItem xmlns:ds="http://schemas.openxmlformats.org/officeDocument/2006/customXml" ds:itemID="{69C9C9F1-F260-411C-B17D-83D158789AD7}">
  <ds:schemaRefs/>
</ds:datastoreItem>
</file>

<file path=customXml/itemProps16.xml><?xml version="1.0" encoding="utf-8"?>
<ds:datastoreItem xmlns:ds="http://schemas.openxmlformats.org/officeDocument/2006/customXml" ds:itemID="{9940D8B9-2D69-43A0-83D9-374CFF955CEE}">
  <ds:schemaRefs>
    <ds:schemaRef ds:uri="http://schemas.microsoft.com/sharepoint/v3/contenttype/forms"/>
  </ds:schemaRefs>
</ds:datastoreItem>
</file>

<file path=customXml/itemProps17.xml><?xml version="1.0" encoding="utf-8"?>
<ds:datastoreItem xmlns:ds="http://schemas.openxmlformats.org/officeDocument/2006/customXml" ds:itemID="{B594DC0A-F101-49CA-A46F-07F594E7ED35}">
  <ds:schemaRefs/>
</ds:datastoreItem>
</file>

<file path=customXml/itemProps18.xml><?xml version="1.0" encoding="utf-8"?>
<ds:datastoreItem xmlns:ds="http://schemas.openxmlformats.org/officeDocument/2006/customXml" ds:itemID="{12878AAF-D10A-4630-B177-264640454A5B}">
  <ds:schemaRefs/>
</ds:datastoreItem>
</file>

<file path=customXml/itemProps19.xml><?xml version="1.0" encoding="utf-8"?>
<ds:datastoreItem xmlns:ds="http://schemas.openxmlformats.org/officeDocument/2006/customXml" ds:itemID="{FBF1550D-F37C-4AC4-8442-58C46641A5B2}">
  <ds:schemaRefs/>
</ds:datastoreItem>
</file>

<file path=customXml/itemProps20.xml><?xml version="1.0" encoding="utf-8"?>
<ds:datastoreItem xmlns:ds="http://schemas.openxmlformats.org/officeDocument/2006/customXml" ds:itemID="{98123A46-45C8-47F2-928B-BC81C2E3D0F3}">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24</vt:i4>
      </vt:variant>
      <vt:variant>
        <vt:lpstr>Named Ranges</vt:lpstr>
      </vt:variant>
      <vt:variant>
        <vt:i4>17</vt:i4>
      </vt:variant>
    </vt:vector>
  </HeadingPairs>
  <TitlesOfParts>
    <vt:vector size="41" baseType="lpstr">
      <vt:lpstr>Risks</vt:lpstr>
      <vt:lpstr>Issues</vt:lpstr>
      <vt:lpstr>Risk Framework</vt:lpstr>
      <vt:lpstr>Controls Filter</vt:lpstr>
      <vt:lpstr>Monitoring Framework</vt:lpstr>
      <vt:lpstr>Montoring 2</vt:lpstr>
      <vt:lpstr>KRI Monthly Changes</vt:lpstr>
      <vt:lpstr>KPI Monthly Changes</vt:lpstr>
      <vt:lpstr>KRI Table</vt:lpstr>
      <vt:lpstr>Monitoring KRIs Vs KPIs</vt:lpstr>
      <vt:lpstr>Executive Risk Dashboard</vt:lpstr>
      <vt:lpstr>KPIs Table</vt:lpstr>
      <vt:lpstr>Assumptions</vt:lpstr>
      <vt:lpstr>Dependencies</vt:lpstr>
      <vt:lpstr>Dashboard</vt:lpstr>
      <vt:lpstr>KRIs VS KPIs</vt:lpstr>
      <vt:lpstr>KRI_KPI Overview</vt:lpstr>
      <vt:lpstr>Guide</vt:lpstr>
      <vt:lpstr>Risk matrix1</vt:lpstr>
      <vt:lpstr>RAD data</vt:lpstr>
      <vt:lpstr>Issue data</vt:lpstr>
      <vt:lpstr>Heat Map Report</vt:lpstr>
      <vt:lpstr>Pivot_table</vt:lpstr>
      <vt:lpstr>Opportunities</vt:lpstr>
      <vt:lpstr>Issues!Count_Log</vt:lpstr>
      <vt:lpstr>Issues!ctrlCount</vt:lpstr>
      <vt:lpstr>Risks!Gross_I</vt:lpstr>
      <vt:lpstr>Risks!Gross_L</vt:lpstr>
      <vt:lpstr>Risks!Net_I</vt:lpstr>
      <vt:lpstr>Risks!Net_L</vt:lpstr>
      <vt:lpstr>'Heat Map Report'!Print_Area</vt:lpstr>
      <vt:lpstr>Issues!Print_Area</vt:lpstr>
      <vt:lpstr>Risks!Print_Area</vt:lpstr>
      <vt:lpstr>Issues!Print_Titles</vt:lpstr>
      <vt:lpstr>Risks!Print_Titles</vt:lpstr>
      <vt:lpstr>qryFilter_01</vt:lpstr>
      <vt:lpstr>risk_status_options</vt:lpstr>
      <vt:lpstr>Risks!rngData_Risks</vt:lpstr>
      <vt:lpstr>Risks!rngRisk_Owner</vt:lpstr>
      <vt:lpstr>Risks!rngRisk_Refs</vt:lpstr>
      <vt:lpstr>Risks!rngRisks</vt:lpstr>
    </vt:vector>
  </TitlesOfParts>
  <Manager/>
  <Company>Southwark Council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Evert Potgieter</dc:creator>
  <cp:keywords/>
  <dc:description/>
  <cp:lastModifiedBy>Anthony Baafi</cp:lastModifiedBy>
  <cp:revision/>
  <cp:lastPrinted>2025-04-23T09:50:28Z</cp:lastPrinted>
  <dcterms:created xsi:type="dcterms:W3CDTF">2005-07-14T10:16:27Z</dcterms:created>
  <dcterms:modified xsi:type="dcterms:W3CDTF">2026-03-03T21:35:38Z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0x010100EA54D2627BA263418E595C489DE30E30</vt:lpwstr>
  </property>
  <property fmtid="{D5CDD505-2E9C-101B-9397-08002B2CF9AE}" pid="3" name="MediaServiceImageTags">
    <vt:lpwstr/>
  </property>
</Properties>
</file>