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17c116af2c9f9fb7/Desktop/CEDRA PRO SALES/Risk Guard/Excel Toolkit/Master_Register/Risk Management System/"/>
    </mc:Choice>
  </mc:AlternateContent>
  <xr:revisionPtr revIDLastSave="998" documentId="13_ncr:1_{E7F56801-9859-48AE-AF63-5D8F46112BD8}" xr6:coauthVersionLast="47" xr6:coauthVersionMax="47" xr10:uidLastSave="{964FE123-F36E-493F-8D2B-A48B9602C048}"/>
  <bookViews>
    <workbookView xWindow="-300" yWindow="888" windowWidth="19260" windowHeight="17544" tabRatio="917" activeTab="6" xr2:uid="{00000000-000D-0000-FFFF-FFFF00000000}"/>
  </bookViews>
  <sheets>
    <sheet name="Risks" sheetId="35" r:id="rId1"/>
    <sheet name="Issues" sheetId="33" r:id="rId2"/>
    <sheet name="Risk Framework" sheetId="20" state="hidden" r:id="rId3"/>
    <sheet name="Controls Filter" sheetId="12" state="hidden" r:id="rId4"/>
    <sheet name="Monitoring Framework" sheetId="16" state="hidden" r:id="rId5"/>
    <sheet name="Montoring 2" sheetId="17" state="hidden" r:id="rId6"/>
    <sheet name="KRI Monthly Changes" sheetId="23" r:id="rId7"/>
    <sheet name="KPI Monthly Changes" sheetId="26" state="hidden" r:id="rId8"/>
    <sheet name="KRI Table" sheetId="24" state="hidden" r:id="rId9"/>
    <sheet name="Monitoring KRIs Vs KPIs" sheetId="18" state="hidden" r:id="rId10"/>
    <sheet name="Executive Risk Dashboard" sheetId="19" state="hidden" r:id="rId11"/>
    <sheet name="KPIs Table" sheetId="25" state="hidden" r:id="rId12"/>
    <sheet name="Assumptions" sheetId="4" state="hidden" r:id="rId13"/>
    <sheet name="Dependencies" sheetId="3" state="hidden" r:id="rId14"/>
    <sheet name="Dashboard" sheetId="42" r:id="rId15"/>
    <sheet name="KRIs VS KPIs" sheetId="21" r:id="rId16"/>
    <sheet name="KRI_KPI Overview" sheetId="28" r:id="rId17"/>
    <sheet name="KRI Definitions" sheetId="45" r:id="rId18"/>
    <sheet name="Guide" sheetId="44" r:id="rId19"/>
    <sheet name="Risk matrix1" sheetId="37" r:id="rId20"/>
    <sheet name="RAD data" sheetId="38" r:id="rId21"/>
    <sheet name="Issue data" sheetId="39" r:id="rId22"/>
    <sheet name="Heat Map Report" sheetId="5" r:id="rId23"/>
    <sheet name="Pivot_table" sheetId="43" state="hidden" r:id="rId24"/>
    <sheet name="Opportunities" sheetId="6" state="hidden" r:id="rId25"/>
    <sheet name="Tickmarks" sheetId="32" state="veryHidden" r:id="rId26"/>
  </sheets>
  <functionGroups builtInGroupCount="19"/>
  <externalReferences>
    <externalReference r:id="rId27"/>
    <externalReference r:id="rId28"/>
  </externalReferences>
  <definedNames>
    <definedName name="_xlnm._FilterDatabase" localSheetId="1" hidden="1">Issues!$A$7:$P$11</definedName>
    <definedName name="_xlnm._FilterDatabase" localSheetId="6" hidden="1">'KRI Monthly Changes'!$C$2:$M$9</definedName>
    <definedName name="_xlnm._FilterDatabase" localSheetId="15" hidden="1">'KRI Table'!$A$3:$I$27</definedName>
    <definedName name="_xlnm._FilterDatabase" localSheetId="2" hidden="1">'Risk Framework'!$A$18:$N$42</definedName>
    <definedName name="_xlnm._FilterDatabase" localSheetId="0" hidden="1">Risks!$A$7:$V$67</definedName>
    <definedName name="_xlcn.WorksheetConnection_Risk_Register_version_2.xlsmRISK_table" hidden="1">RISK_table_1</definedName>
    <definedName name="_xleta.FREQUENCY" hidden="1" xlm="1">#NAME?</definedName>
    <definedName name="_xleta.IF" hidden="1" xlm="1">#NAME?</definedName>
    <definedName name="_xleta.RATE" hidden="1" xlm="1">#NAME?</definedName>
    <definedName name="_xleta.T" hidden="1" xlm="1">#NAME?</definedName>
    <definedName name="_xleta.VALUE" hidden="1" xlm="1">#NAME?</definedName>
    <definedName name="_xleta.XLOOKUP" hidden="1" xlm="1">#NAME?</definedName>
    <definedName name="_xlpm.firstNum" hidden="1" xlm="1">#NAME?</definedName>
    <definedName name="_xlpm.noSymbols" hidden="1" xlm="1">#NAME?</definedName>
    <definedName name="_xlpm.s" hidden="1" xlm="1">#NAME?</definedName>
    <definedName name="_xlpm.scores" hidden="1" xlm="1">#NAME?</definedName>
    <definedName name="_xlpm.selected" hidden="1" xlm="1">#NAME?</definedName>
    <definedName name="_xlpm.txt" hidden="1" xlm="1">#NAME?</definedName>
    <definedName name="_xlpm.ws" hidden="1" xlm="1">#NAME?</definedName>
    <definedName name="Cat_External">#REF!</definedName>
    <definedName name="Count_Log" localSheetId="1">Issues!#REF!</definedName>
    <definedName name="Count_Log">#REF!</definedName>
    <definedName name="ctrlCount" localSheetId="1">Issues!$N$5</definedName>
    <definedName name="ctrlCount">#REF!</definedName>
    <definedName name="ctrlNumber">#REF!</definedName>
    <definedName name="ExternalData_1" localSheetId="3" hidden="1">'Controls Filter'!$A$10:$N$14</definedName>
    <definedName name="Gross_I" localSheetId="0">Risks!$H$8:$H$67</definedName>
    <definedName name="Gross_I">#REF!</definedName>
    <definedName name="Gross_L" localSheetId="0">Risks!$I$8:$I$67</definedName>
    <definedName name="Gross_L">#REF!</definedName>
    <definedName name="KRI_Financial" localSheetId="14">_xlfn._xlws.FILTER('[1]KRI_KPI Overview'!A1:A8, '[1]KRI_KPI Overview'!XFC1:XFC8="Financial")</definedName>
    <definedName name="KRI_Financial">_xlfn._xlws.FILTER('KRI_KPI Overview'!A1:A8, 'KRI_KPI Overview'!XFC1:XFC8="Financial")</definedName>
    <definedName name="KRI_workstream" localSheetId="14">[1]!KRI_table[Workstream]</definedName>
    <definedName name="KRI_workstream">#REF!</definedName>
    <definedName name="linked_KRI">_xlfn.TEXTSPLIT(INDIRECT("AR" &amp; ROW()), ",")</definedName>
    <definedName name="Net_I" localSheetId="0">Risks!$N$8:$N$67</definedName>
    <definedName name="Net_I">#REF!</definedName>
    <definedName name="Net_L" localSheetId="0">Risks!$O$8:$O$67</definedName>
    <definedName name="Net_L">#REF!</definedName>
    <definedName name="Objectives" localSheetId="14">#REF!</definedName>
    <definedName name="Objectives">#REF!</definedName>
    <definedName name="_xlnm.Print_Area" localSheetId="22">'Heat Map Report'!$B$2:$P$10</definedName>
    <definedName name="_xlnm.Print_Area" localSheetId="1">Issues!$A$1:$O$8</definedName>
    <definedName name="_xlnm.Print_Area" localSheetId="0">Risks!$A$2:$Y$7</definedName>
    <definedName name="_xlnm.Print_Titles" localSheetId="1">Issues!$1:$7</definedName>
    <definedName name="_xlnm.Print_Titles" localSheetId="0">Risks!$2:$7</definedName>
    <definedName name="qryFilter_01">'Controls Filter'!$B$5</definedName>
    <definedName name="risk_status_options">'RAD data'!$G$4:$G$11</definedName>
    <definedName name="rngControl_Tasks">#REF!</definedName>
    <definedName name="rngCTRL_RiskRef">#REF!</definedName>
    <definedName name="rngData_Controls">#REF!</definedName>
    <definedName name="rngData_Risks" localSheetId="0">Risks!$A$7:$U$67</definedName>
    <definedName name="rngData_Risks">#REF!</definedName>
    <definedName name="rngRisk_Grp">#REF!</definedName>
    <definedName name="rngRisk_Owner" localSheetId="0">Risks!$M$8:$M$67</definedName>
    <definedName name="rngRisk_Owner">#REF!</definedName>
    <definedName name="rngRisk_Refs" localSheetId="14">'[1]Risk Register'!$B$8:$B$40</definedName>
    <definedName name="rngRisk_Refs" localSheetId="1">#REF!</definedName>
    <definedName name="rngRisk_Refs" localSheetId="0">Risks!$A$8:$A$67</definedName>
    <definedName name="rngRisk_Refs">#REF!</definedName>
    <definedName name="rngRisks" localSheetId="0">Risks!$A$8:$U$67</definedName>
    <definedName name="rngRisks">#REF!</definedName>
    <definedName name="rngStatus" localSheetId="14">'[1]RAD data'!#REF!</definedName>
    <definedName name="rngStatus" localSheetId="1">#REF!</definedName>
    <definedName name="rngStatus" localSheetId="0">#REF!</definedName>
    <definedName name="rngStatus">#REF!</definedName>
    <definedName name="Z_C2C64AFF_719D_4BC9_890F_147B4447CC0D_.wvu.Cols" localSheetId="0" hidden="1">Risks!#REF!,Risks!$H:$H</definedName>
    <definedName name="Z_C2C64AFF_719D_4BC9_890F_147B4447CC0D_.wvu.FilterData" localSheetId="1" hidden="1">Issues!$A$7:$P$7</definedName>
    <definedName name="Z_C2C64AFF_719D_4BC9_890F_147B4447CC0D_.wvu.PrintArea" localSheetId="22" hidden="1">'Heat Map Report'!$B$2:$P$10</definedName>
    <definedName name="Z_C2C64AFF_719D_4BC9_890F_147B4447CC0D_.wvu.Rows" localSheetId="1" hidden="1">Issues!$5:$5</definedName>
    <definedName name="Z_C2C64AFF_719D_4BC9_890F_147B4447CC0D_.wvu.Rows" localSheetId="0" hidden="1">Risks!$1:$1,Risks!#REF!</definedName>
    <definedName name="Z_CFB060A1_0877_4347_95EC_FD6452ADBD74_.wvu.Cols" localSheetId="0" hidden="1">Risks!#REF!,Risks!$H:$H</definedName>
    <definedName name="Z_CFB060A1_0877_4347_95EC_FD6452ADBD74_.wvu.FilterData" localSheetId="1" hidden="1">Issues!$A$7:$P$7</definedName>
    <definedName name="Z_CFB060A1_0877_4347_95EC_FD6452ADBD74_.wvu.PrintArea" localSheetId="22" hidden="1">'Heat Map Report'!$B$2:$P$10</definedName>
    <definedName name="Z_CFB060A1_0877_4347_95EC_FD6452ADBD74_.wvu.Rows" localSheetId="1" hidden="1">Issues!$5:$5</definedName>
    <definedName name="Z_CFB060A1_0877_4347_95EC_FD6452ADBD74_.wvu.Rows" localSheetId="0" hidden="1">Risks!$1:$1,Risks!#REF!</definedName>
  </definedNames>
  <calcPr calcId="191028"/>
  <customWorkbookViews>
    <customWorkbookView name="Amos, David - Personal View" guid="{C2C64AFF-719D-4BC9-890F-147B4447CC0D}" mergeInterval="0" personalView="1" maximized="1" xWindow="-11" yWindow="-11" windowWidth="2582" windowHeight="1402" tabRatio="603" activeSheetId="10"/>
    <customWorkbookView name="Terry-Donovan, Cordelia - Personal View" guid="{CFB060A1-0877-4347-95EC-FD6452ADBD74}" mergeInterval="0" personalView="1" maximized="1" xWindow="-9" yWindow="-9" windowWidth="1938" windowHeight="1048" tabRatio="603" activeSheetId="1"/>
  </customWorkbookViews>
  <pivotCaches>
    <pivotCache cacheId="5" r:id="rId29"/>
  </pivotCaches>
  <fileRecoveryPr autoRecover="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ISK_table" name="RISK_table" connection="WorksheetConnection_Risk_Register_version_2.xlsm!RISK_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0" i="42" l="1"/>
  <c r="N5" i="33"/>
  <c r="P5" i="5" l="1"/>
  <c r="P6" i="5"/>
  <c r="P7" i="5"/>
  <c r="P8" i="5"/>
  <c r="P4" i="5"/>
  <c r="O5" i="5"/>
  <c r="O6" i="5"/>
  <c r="O7" i="5"/>
  <c r="O8" i="5"/>
  <c r="O4" i="5"/>
  <c r="N5" i="5"/>
  <c r="N6" i="5"/>
  <c r="N7" i="5"/>
  <c r="N8" i="5"/>
  <c r="N4" i="5"/>
  <c r="M4" i="5"/>
  <c r="M5" i="5"/>
  <c r="M6" i="5"/>
  <c r="M7" i="5"/>
  <c r="M8" i="5"/>
  <c r="L5" i="5"/>
  <c r="L6" i="5"/>
  <c r="L7" i="5"/>
  <c r="L8" i="5"/>
  <c r="L4" i="5"/>
  <c r="V5" i="5"/>
  <c r="V6" i="5"/>
  <c r="V4" i="5"/>
  <c r="U5" i="5"/>
  <c r="U6" i="5"/>
  <c r="U4" i="5"/>
  <c r="T4" i="5"/>
  <c r="T5" i="5"/>
  <c r="T6" i="5"/>
  <c r="H5" i="5"/>
  <c r="H6" i="5"/>
  <c r="H7" i="5"/>
  <c r="H8" i="5"/>
  <c r="H4" i="5"/>
  <c r="G5" i="5"/>
  <c r="G6" i="5"/>
  <c r="G7" i="5"/>
  <c r="G8" i="5"/>
  <c r="G4" i="5"/>
  <c r="F5" i="5"/>
  <c r="F6" i="5"/>
  <c r="F7" i="5"/>
  <c r="F8" i="5"/>
  <c r="F4" i="5"/>
  <c r="E5" i="5"/>
  <c r="E6" i="5"/>
  <c r="E7" i="5"/>
  <c r="E8" i="5"/>
  <c r="E4" i="5"/>
  <c r="D4" i="5"/>
  <c r="D5" i="5"/>
  <c r="D6" i="5"/>
  <c r="D7" i="5"/>
  <c r="D8" i="5"/>
  <c r="L47" i="42"/>
  <c r="L48" i="42"/>
  <c r="L49" i="42"/>
  <c r="L50" i="42"/>
  <c r="L51" i="42"/>
  <c r="L52" i="42"/>
  <c r="L53" i="42"/>
  <c r="L54" i="42"/>
  <c r="L55" i="42"/>
  <c r="L56" i="42"/>
  <c r="L57" i="42"/>
  <c r="L58" i="42"/>
  <c r="L59" i="42"/>
  <c r="L60" i="42"/>
  <c r="L61" i="42"/>
  <c r="L62" i="42"/>
  <c r="L63" i="42"/>
  <c r="L64" i="42"/>
  <c r="L65" i="42"/>
  <c r="L66" i="42"/>
  <c r="L67" i="42"/>
  <c r="L68" i="42"/>
  <c r="L46" i="42"/>
  <c r="K58" i="42"/>
  <c r="K59" i="42"/>
  <c r="K60" i="42"/>
  <c r="K61" i="42"/>
  <c r="K62" i="42"/>
  <c r="K63" i="42"/>
  <c r="K64" i="42"/>
  <c r="K65" i="42"/>
  <c r="K66" i="42"/>
  <c r="K67" i="42"/>
  <c r="K68" i="42"/>
  <c r="J47" i="42"/>
  <c r="J48" i="42"/>
  <c r="J49" i="42"/>
  <c r="J50" i="42"/>
  <c r="J51" i="42"/>
  <c r="J52" i="42"/>
  <c r="J53" i="42"/>
  <c r="J54" i="42"/>
  <c r="J55" i="42"/>
  <c r="J56" i="42"/>
  <c r="J57" i="42"/>
  <c r="J58" i="42"/>
  <c r="J59" i="42"/>
  <c r="J60" i="42"/>
  <c r="J61" i="42"/>
  <c r="J62" i="42"/>
  <c r="J63" i="42"/>
  <c r="J64" i="42"/>
  <c r="J65" i="42"/>
  <c r="J66" i="42"/>
  <c r="J67" i="42"/>
  <c r="J68" i="42"/>
  <c r="J46" i="42"/>
  <c r="I46" i="42" a="1"/>
  <c r="I46" i="42" s="1"/>
  <c r="E52" i="42" a="1"/>
  <c r="E52" i="42" s="1"/>
  <c r="E50" i="42" a="1"/>
  <c r="E50" i="42" s="1"/>
  <c r="E48" i="42" a="1"/>
  <c r="E48" i="42" s="1"/>
  <c r="D52" i="42"/>
  <c r="D50" i="42"/>
  <c r="D48" i="42"/>
  <c r="O16" i="26"/>
  <c r="N16" i="26"/>
  <c r="M16" i="26"/>
  <c r="K16" i="26"/>
  <c r="F16" i="26"/>
  <c r="E16" i="26"/>
  <c r="D16" i="26"/>
  <c r="O15" i="26"/>
  <c r="N15" i="26"/>
  <c r="M15" i="26"/>
  <c r="K57" i="42" s="1"/>
  <c r="K15" i="26"/>
  <c r="F15" i="26"/>
  <c r="E15" i="26"/>
  <c r="D15" i="26"/>
  <c r="O14" i="26"/>
  <c r="N14" i="26"/>
  <c r="M14" i="26"/>
  <c r="K56" i="42" s="1"/>
  <c r="K14" i="26"/>
  <c r="F14" i="26"/>
  <c r="E14" i="26"/>
  <c r="D14" i="26"/>
  <c r="O13" i="26"/>
  <c r="N13" i="26"/>
  <c r="M13" i="26"/>
  <c r="K55" i="42" s="1"/>
  <c r="K13" i="26"/>
  <c r="F13" i="26"/>
  <c r="E13" i="26"/>
  <c r="D13" i="26"/>
  <c r="O12" i="26"/>
  <c r="N12" i="26"/>
  <c r="M12" i="26"/>
  <c r="K54" i="42" s="1"/>
  <c r="K12" i="26"/>
  <c r="F12" i="26"/>
  <c r="E12" i="26"/>
  <c r="D12" i="26"/>
  <c r="O11" i="26"/>
  <c r="N11" i="26"/>
  <c r="M11" i="26"/>
  <c r="K53" i="42" s="1"/>
  <c r="K11" i="26"/>
  <c r="F11" i="26"/>
  <c r="E11" i="26"/>
  <c r="D11" i="26"/>
  <c r="O10" i="26"/>
  <c r="N10" i="26"/>
  <c r="M10" i="26"/>
  <c r="K52" i="42" s="1"/>
  <c r="K10" i="26"/>
  <c r="F10" i="26"/>
  <c r="E10" i="26"/>
  <c r="D10" i="26"/>
  <c r="O9" i="26"/>
  <c r="N9" i="26"/>
  <c r="M9" i="26"/>
  <c r="K51" i="42" s="1"/>
  <c r="K9" i="26"/>
  <c r="F9" i="26"/>
  <c r="E9" i="26"/>
  <c r="D9" i="26"/>
  <c r="O8" i="26"/>
  <c r="N8" i="26"/>
  <c r="M8" i="26"/>
  <c r="K50" i="42" s="1"/>
  <c r="K8" i="26"/>
  <c r="F8" i="26"/>
  <c r="E8" i="26"/>
  <c r="D8" i="26"/>
  <c r="O7" i="26"/>
  <c r="N7" i="26"/>
  <c r="M7" i="26"/>
  <c r="K49" i="42" s="1"/>
  <c r="K7" i="26"/>
  <c r="F7" i="26"/>
  <c r="E7" i="26"/>
  <c r="D7" i="26"/>
  <c r="O6" i="26"/>
  <c r="N6" i="26"/>
  <c r="M6" i="26"/>
  <c r="K48" i="42" s="1"/>
  <c r="K6" i="26"/>
  <c r="F6" i="26"/>
  <c r="E6" i="26"/>
  <c r="D6" i="26"/>
  <c r="O5" i="26"/>
  <c r="N5" i="26"/>
  <c r="M5" i="26"/>
  <c r="K47" i="42" s="1"/>
  <c r="K5" i="26"/>
  <c r="F5" i="26"/>
  <c r="E5" i="26"/>
  <c r="D5" i="26"/>
  <c r="O4" i="26"/>
  <c r="N4" i="26"/>
  <c r="M4" i="26"/>
  <c r="K46" i="42" s="1"/>
  <c r="K4" i="26"/>
  <c r="F4" i="26"/>
  <c r="E4" i="26"/>
  <c r="D4" i="26"/>
  <c r="D23" i="42" l="1"/>
  <c r="L35" i="42" l="1"/>
  <c r="L30" i="42"/>
  <c r="K31" i="42"/>
  <c r="K37" i="42"/>
  <c r="K36" i="42"/>
  <c r="J36" i="42"/>
  <c r="J35" i="42"/>
  <c r="J34" i="42"/>
  <c r="J33" i="42"/>
  <c r="J32" i="42"/>
  <c r="J31" i="42"/>
  <c r="L31" i="42"/>
  <c r="L32" i="42"/>
  <c r="L33" i="42"/>
  <c r="L34" i="42"/>
  <c r="L36" i="42"/>
  <c r="L37" i="42"/>
  <c r="L38" i="42"/>
  <c r="L39" i="42"/>
  <c r="K32" i="42"/>
  <c r="K33" i="42"/>
  <c r="K34" i="42"/>
  <c r="K35" i="42"/>
  <c r="K38" i="42"/>
  <c r="K39" i="42"/>
  <c r="J37" i="42"/>
  <c r="J38" i="42"/>
  <c r="J39" i="42"/>
  <c r="AH66" i="42"/>
  <c r="AH67" i="42"/>
  <c r="AH68" i="42"/>
  <c r="AI66" i="42"/>
  <c r="AI67" i="42"/>
  <c r="AI68" i="42"/>
  <c r="D61" i="42"/>
  <c r="O23" i="42" l="1" a="1"/>
  <c r="O23" i="42" s="1"/>
  <c r="O22" i="42" a="1"/>
  <c r="O22" i="42" s="1"/>
  <c r="O21" i="42" a="1"/>
  <c r="O21" i="42" s="1"/>
  <c r="O20" i="42" a="1"/>
  <c r="O20" i="42" s="1"/>
  <c r="O19" i="42" a="1"/>
  <c r="O19" i="42" s="1"/>
  <c r="K30" i="42"/>
  <c r="S12" i="42" a="1"/>
  <c r="S12" i="42" s="1"/>
  <c r="S11" i="42" a="1"/>
  <c r="S11" i="42" s="1"/>
  <c r="S10" i="42" a="1"/>
  <c r="S10" i="42" s="1"/>
  <c r="S9" i="42" a="1"/>
  <c r="S9" i="42" s="1"/>
  <c r="S8" i="42" a="1"/>
  <c r="S8" i="42" s="1"/>
  <c r="O8" i="42" a="1"/>
  <c r="O8" i="42" s="1"/>
  <c r="O7" i="42" a="1"/>
  <c r="O7" i="42" s="1"/>
  <c r="O6" i="42" a="1"/>
  <c r="O6" i="42" s="1"/>
  <c r="AJ68" i="42"/>
  <c r="E34" i="42" a="1"/>
  <c r="E34" i="42" s="1"/>
  <c r="E33" i="42" a="1"/>
  <c r="E33" i="42" s="1"/>
  <c r="E32" i="42" a="1"/>
  <c r="E32" i="42" s="1"/>
  <c r="E12" i="42" a="1"/>
  <c r="E12" i="42" s="1"/>
  <c r="E11" i="42" a="1"/>
  <c r="E11" i="42" s="1"/>
  <c r="E10" i="42" a="1"/>
  <c r="E10" i="42" s="1"/>
  <c r="E9" i="42" a="1"/>
  <c r="E9" i="42" s="1"/>
  <c r="E8" i="42" a="1"/>
  <c r="E8" i="42" s="1"/>
  <c r="J20" i="42"/>
  <c r="J21" i="42"/>
  <c r="J22" i="42"/>
  <c r="D22" i="42"/>
  <c r="D21" i="42"/>
  <c r="D67" i="42"/>
  <c r="D65" i="42"/>
  <c r="D63" i="42"/>
  <c r="F38" i="42"/>
  <c r="D32" i="42"/>
  <c r="D34" i="42"/>
  <c r="D33" i="42"/>
  <c r="J9" i="42"/>
  <c r="J10" i="42"/>
  <c r="J11" i="42"/>
  <c r="J12" i="42"/>
  <c r="J8" i="42"/>
  <c r="D8" i="42"/>
  <c r="D12" i="42"/>
  <c r="D9" i="42"/>
  <c r="D10" i="42"/>
  <c r="D11" i="42"/>
  <c r="AH48" i="42" l="1"/>
  <c r="AH56" i="42"/>
  <c r="AH64" i="42"/>
  <c r="AI49" i="42"/>
  <c r="AI57" i="42"/>
  <c r="AI65" i="42"/>
  <c r="AI51" i="42"/>
  <c r="AI59" i="42"/>
  <c r="AH49" i="42"/>
  <c r="AH57" i="42"/>
  <c r="AH65" i="42"/>
  <c r="AI50" i="42"/>
  <c r="AI58" i="42"/>
  <c r="AH50" i="42"/>
  <c r="AH58" i="42"/>
  <c r="AI60" i="42"/>
  <c r="AH62" i="42"/>
  <c r="AI47" i="42"/>
  <c r="AI63" i="42"/>
  <c r="AH47" i="42"/>
  <c r="AH63" i="42"/>
  <c r="AI48" i="42"/>
  <c r="AI64" i="42"/>
  <c r="AH51" i="42"/>
  <c r="AH59" i="42"/>
  <c r="AI52" i="42"/>
  <c r="AH52" i="42"/>
  <c r="AH60" i="42"/>
  <c r="AI53" i="42"/>
  <c r="AI61" i="42"/>
  <c r="AH54" i="42"/>
  <c r="AI55" i="42"/>
  <c r="AH55" i="42"/>
  <c r="AI56" i="42"/>
  <c r="AH53" i="42"/>
  <c r="AH61" i="42"/>
  <c r="AI54" i="42"/>
  <c r="AI62" i="42"/>
  <c r="AJ63" i="42"/>
  <c r="AJ55" i="42"/>
  <c r="AJ53" i="42"/>
  <c r="AJ62" i="42"/>
  <c r="AJ54" i="42"/>
  <c r="AJ61" i="42"/>
  <c r="AJ52" i="42"/>
  <c r="AJ60" i="42"/>
  <c r="AJ51" i="42"/>
  <c r="AJ67" i="42"/>
  <c r="AJ59" i="42"/>
  <c r="AJ50" i="42"/>
  <c r="AJ66" i="42"/>
  <c r="AJ58" i="42"/>
  <c r="AJ49" i="42"/>
  <c r="AJ65" i="42"/>
  <c r="AJ57" i="42"/>
  <c r="AJ48" i="42"/>
  <c r="AJ64" i="42"/>
  <c r="AJ56" i="42"/>
  <c r="AJ47" i="42"/>
  <c r="AJ46" i="42" l="1"/>
  <c r="AI46" i="42"/>
  <c r="AH46" i="42"/>
  <c r="C6" i="12" l="1"/>
  <c r="A7" i="3" l="1"/>
  <c r="A7" i="4"/>
  <c r="A8" i="3"/>
  <c r="A9" i="3"/>
  <c r="A10" i="3"/>
  <c r="A11" i="3"/>
  <c r="A12" i="3"/>
  <c r="A13" i="3"/>
  <c r="A14" i="3"/>
  <c r="A15" i="3"/>
  <c r="A16" i="3"/>
  <c r="A17" i="3"/>
  <c r="A18" i="3"/>
  <c r="A19" i="3"/>
  <c r="A20" i="3"/>
  <c r="A21" i="3"/>
  <c r="A22" i="3"/>
  <c r="A23" i="3"/>
  <c r="A24" i="3"/>
  <c r="A25" i="3"/>
  <c r="A2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tc={BBEFDF8B-30A7-4319-9214-D9D2C3D4D9AA}</author>
    <author>tc={865B3E83-BD22-40BF-84E3-113A3CB31B96}</author>
  </authors>
  <commentList>
    <comment ref="Q7" authorId="0" shapeId="0" xr:uid="{BBEFDF8B-30A7-4319-9214-D9D2C3D4D9AA}">
      <text>
        <t>[Threaded comment]
Your version of Excel allows you to read this threaded comment; however, any edits to it will get removed if the file is opened in a newer version of Excel. Learn more: https://go.microsoft.com/fwlink/?linkid=870924
Comment:
    How much risk we are willing to accept</t>
      </text>
    </comment>
    <comment ref="W7" authorId="1" shapeId="0" xr:uid="{865B3E83-BD22-40BF-84E3-113A3CB31B96}">
      <text>
        <t>[Threaded comment]
Your version of Excel allows you to read this threaded comment; however, any edits to it will get removed if the file is opened in a newer version of Excel. Learn more: https://go.microsoft.com/fwlink/?linkid=870924
Comment:
    Where the figure can be deemed to be subjective then use the guide figure provided. Where we know an actual monetary value, use that.
For projects use % of scheme budget.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Withers, Siobhan</author>
  </authors>
  <commentList>
    <comment ref="F6" authorId="0" shapeId="0" xr:uid="{00000000-0006-0000-0400-000001000000}">
      <text>
        <r>
          <rPr>
            <b/>
            <sz val="9"/>
            <color indexed="81"/>
            <rFont val="Tahoma"/>
            <family val="2"/>
          </rPr>
          <t>Withers, Siobhan:</t>
        </r>
        <r>
          <rPr>
            <sz val="9"/>
            <color indexed="81"/>
            <rFont val="Tahoma"/>
            <family val="2"/>
          </rPr>
          <t xml:space="preserve">
This allows for situations where we know we have a critical dependency but we haven’t yet reorganised and rescheduled it to allow it to be completed in a timely manner so it doesn’t disrupt the project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qryData_Controls" description="Connection to the 'qryData_Controls' query in the workbook." type="5" refreshedVersion="6" background="1" saveData="1">
    <dbPr connection="Provider=Microsoft.Mashup.OleDb.1;Data Source=$Workbook$;Location=qryData_Controls;Extended Properties=&quot;&quot;" command="SELECT * FROM [qryData_Controls]"/>
  </connection>
  <connection id="2" xr16:uid="{00000000-0015-0000-FFFF-FFFF01000000}" keepAlive="1" name="Query - qryFilter" description="Connection to the 'qryFilter' query in the workbook." type="5" refreshedVersion="0" background="1">
    <dbPr connection="Provider=Microsoft.Mashup.OleDb.1;Data Source=$Workbook$;Location=qryFilter;Extended Properties=&quot;&quot;" command="SELECT * FROM [qryFilter]"/>
  </connection>
  <connection id="3" xr16:uid="{7D731E0D-DC40-4D71-8343-E4EADDAC771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27B6417B-F87D-43F7-887E-25CCF58C1C02}" name="WorksheetConnection_Risk_Register_version_2.xlsm!RISK_table" type="102" refreshedVersion="8" minRefreshableVersion="5">
    <extLst>
      <ext xmlns:x15="http://schemas.microsoft.com/office/spreadsheetml/2010/11/main" uri="{DE250136-89BD-433C-8126-D09CA5730AF9}">
        <x15:connection id="RISK_table">
          <x15:rangePr sourceName="_xlcn.WorksheetConnection_Risk_Register_version_2.xlsmRISK_table"/>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<sst xmlns="http://schemas.openxmlformats.org/spreadsheetml/2006/main" count="4541" uniqueCount="2187">
  <si>
    <t>Risk Register</t>
  </si>
  <si>
    <t>Programme Name: Southwark Construction</t>
  </si>
  <si>
    <t>Contact: Siobhán Withers</t>
  </si>
  <si>
    <t>The impact that the risk would have if it occurred, after mitigation is applied ( 10 highest)</t>
  </si>
  <si>
    <t>The Likelihood that the risk will occur, after mitigation is applied (10 highest)</t>
  </si>
  <si>
    <t>Risk Score after mitigating actions</t>
  </si>
  <si>
    <t>Select from drop down menu – Open, Closed, Managed, Mitigated, Tolerated</t>
  </si>
  <si>
    <t>The date when the risk was closed</t>
  </si>
  <si>
    <t>Risk ref</t>
  </si>
  <si>
    <t>Programme</t>
  </si>
  <si>
    <t>Workstream</t>
  </si>
  <si>
    <t>Risk Title</t>
  </si>
  <si>
    <t>Risk Description and Impact</t>
  </si>
  <si>
    <t>Risk Owner</t>
  </si>
  <si>
    <t>Category</t>
  </si>
  <si>
    <t>RISK SCORE</t>
  </si>
  <si>
    <t>Risk controls (mitigation)</t>
  </si>
  <si>
    <t>Control Owner
(by exception)</t>
  </si>
  <si>
    <t>New RISK SCORE</t>
  </si>
  <si>
    <t>Current Status</t>
  </si>
  <si>
    <t>Closure Authority</t>
  </si>
  <si>
    <t>Comments</t>
  </si>
  <si>
    <t>Overall Programme</t>
  </si>
  <si>
    <t>Procurement</t>
  </si>
  <si>
    <t>Stuart Davis</t>
  </si>
  <si>
    <t>Internal - Resource</t>
  </si>
  <si>
    <t>SPM PMO</t>
  </si>
  <si>
    <t>Managed</t>
  </si>
  <si>
    <t>Health &amp; Safety</t>
  </si>
  <si>
    <t>Strategic Director</t>
  </si>
  <si>
    <t>Internal - Organisaton</t>
  </si>
  <si>
    <t>Financial</t>
  </si>
  <si>
    <t>Closed</t>
  </si>
  <si>
    <t>Resourcing</t>
  </si>
  <si>
    <t>Zoe Davies</t>
  </si>
  <si>
    <t>Mitigated</t>
  </si>
  <si>
    <t>Strategic Leads</t>
  </si>
  <si>
    <t>External - Political</t>
  </si>
  <si>
    <t>Pre 2026 Programme</t>
  </si>
  <si>
    <t>Internal - Mission</t>
  </si>
  <si>
    <t>External - Legal</t>
  </si>
  <si>
    <t>External - Social</t>
  </si>
  <si>
    <t>Open</t>
  </si>
  <si>
    <t>External - Economic</t>
  </si>
  <si>
    <t>External - Environmental</t>
  </si>
  <si>
    <t>David Amos</t>
  </si>
  <si>
    <t>Tolerated</t>
  </si>
  <si>
    <t>GLA</t>
  </si>
  <si>
    <t>Internal - Team</t>
  </si>
  <si>
    <t>Internal - Approach</t>
  </si>
  <si>
    <t>External - Technological</t>
  </si>
  <si>
    <t>Mariola Viegas-Trimble</t>
  </si>
  <si>
    <t>Internal - Rites and rules</t>
  </si>
  <si>
    <t>Future Programme 2026+</t>
  </si>
  <si>
    <t>Future Programme</t>
  </si>
  <si>
    <t>Political / Reputational</t>
  </si>
  <si>
    <t>Reputational</t>
  </si>
  <si>
    <t>Political</t>
  </si>
  <si>
    <t>Severe</t>
  </si>
  <si>
    <t>Major</t>
  </si>
  <si>
    <t>Risk_Ref</t>
  </si>
  <si>
    <t>PR_0026</t>
  </si>
  <si>
    <t>Select Risk reference to filter it's controls</t>
  </si>
  <si>
    <t>Control Ref</t>
  </si>
  <si>
    <t>Risk Description</t>
  </si>
  <si>
    <t>Impact - 1 to 10</t>
  </si>
  <si>
    <t xml:space="preserve">Likelihood  - 1 to 10 
</t>
  </si>
  <si>
    <t>Closure Date / Deadline</t>
  </si>
  <si>
    <t>Fixed Reference</t>
  </si>
  <si>
    <t>CTRL0049</t>
  </si>
  <si>
    <t>PR_0029</t>
  </si>
  <si>
    <t>Net Development Expenditure Higher than forecast</t>
  </si>
  <si>
    <t>Total net development costs are higher than forecast for committed schemes.  This may have been caused by delays, cost inflation, changes to regulations where costs has to be absorbed by LB Southwark</t>
  </si>
  <si>
    <t>Complete revised outurn for committed projects based on a re-appraisal of costs/income</t>
  </si>
  <si>
    <t>CTR0050</t>
  </si>
  <si>
    <t>Review development programme deliverables and timing to keep within cost envelope</t>
  </si>
  <si>
    <t>CTR0051</t>
  </si>
  <si>
    <t>Establish cost/income impact of redesigning committed schemes greater than 6 stories including delays to delivery</t>
  </si>
  <si>
    <t>CTR0052</t>
  </si>
  <si>
    <t>Assess Southwark land assets available for disposal to create additional funding for programme</t>
  </si>
  <si>
    <t>Issue Log</t>
  </si>
  <si>
    <t>Programme  reference followed by number, e.g. PR_I001</t>
  </si>
  <si>
    <t>If the issue has resulted from a risk that has been realised</t>
  </si>
  <si>
    <t>An issue has arisen…
which means that…
and the impact is…</t>
  </si>
  <si>
    <t>The senior business owner of the issue who is directly impacted by the issue</t>
  </si>
  <si>
    <t>Select from drop down menu</t>
  </si>
  <si>
    <t>Issue ref</t>
  </si>
  <si>
    <t>Issue Description and impact</t>
  </si>
  <si>
    <t>Issue Owner</t>
  </si>
  <si>
    <t>Priority</t>
  </si>
  <si>
    <t>Severity</t>
  </si>
  <si>
    <t>ISSUE SCORE</t>
  </si>
  <si>
    <t>Issue controls (mitigation) and updates</t>
  </si>
  <si>
    <t>Control Deadline</t>
  </si>
  <si>
    <t>Status</t>
  </si>
  <si>
    <t>4. Resolved</t>
  </si>
  <si>
    <t>3. Implementing Fix</t>
  </si>
  <si>
    <t>PMO</t>
  </si>
  <si>
    <t>Leaseholder Engagement</t>
  </si>
  <si>
    <t>Osama Shoush</t>
  </si>
  <si>
    <t>Hemali Topiwala</t>
  </si>
  <si>
    <t>Resident</t>
  </si>
  <si>
    <t>2. Escalated</t>
  </si>
  <si>
    <t>Assumptions</t>
  </si>
  <si>
    <t>Last updated: N/A</t>
  </si>
  <si>
    <t>Programme reference followed by number, e.g. PR_A001</t>
  </si>
  <si>
    <t>It is assumed that…</t>
  </si>
  <si>
    <t>If the assumption is false then…</t>
  </si>
  <si>
    <t>The next actions on this assumption will be…</t>
  </si>
  <si>
    <t>Assumption ref</t>
  </si>
  <si>
    <t>Assumption Description</t>
  </si>
  <si>
    <t>Implication</t>
  </si>
  <si>
    <t>Assumption/Constraint</t>
  </si>
  <si>
    <t>Criticality</t>
  </si>
  <si>
    <t>Last updated</t>
  </si>
  <si>
    <t>Next Actions</t>
  </si>
  <si>
    <t xml:space="preserve"> Owner</t>
  </si>
  <si>
    <t>Dependencies Log</t>
  </si>
  <si>
    <t>Programme reference followed by number, e.g. PR_D001</t>
  </si>
  <si>
    <t>A full description of the dependency</t>
  </si>
  <si>
    <t>What needs to happen to ensure this dependency is managed</t>
  </si>
  <si>
    <t>Dependency ref</t>
  </si>
  <si>
    <t>Dependency Description</t>
  </si>
  <si>
    <t>Inbound/Outbound</t>
  </si>
  <si>
    <t>Priority committed?</t>
  </si>
  <si>
    <t>Deadline / critical date</t>
  </si>
  <si>
    <t>Next update</t>
  </si>
  <si>
    <t xml:space="preserve">Follow on actions </t>
  </si>
  <si>
    <t>GROSS RISK</t>
  </si>
  <si>
    <t>RESIDUAL RISK</t>
  </si>
  <si>
    <t>Issues</t>
  </si>
  <si>
    <t>Priority values</t>
  </si>
  <si>
    <t>Severity values</t>
  </si>
  <si>
    <t>Impact</t>
  </si>
  <si>
    <t>1. Immediate</t>
  </si>
  <si>
    <t>1. Critical</t>
  </si>
  <si>
    <t>2. Soon</t>
  </si>
  <si>
    <t>2. Medium</t>
  </si>
  <si>
    <t>3. Later</t>
  </si>
  <si>
    <t>3. Minor</t>
  </si>
  <si>
    <t>Likelihood</t>
  </si>
  <si>
    <t>Medium</t>
  </si>
  <si>
    <t>Minor</t>
  </si>
  <si>
    <t>Insignificant</t>
  </si>
  <si>
    <t>Rare</t>
  </si>
  <si>
    <t>Unlikely</t>
  </si>
  <si>
    <t>Possible</t>
  </si>
  <si>
    <t>Likely</t>
  </si>
  <si>
    <t>Almost Certain</t>
  </si>
  <si>
    <t>I*L</t>
  </si>
  <si>
    <t>Text</t>
  </si>
  <si>
    <t>Risk "Score"</t>
  </si>
  <si>
    <t>11</t>
  </si>
  <si>
    <t>P</t>
  </si>
  <si>
    <t>Government changes including interventions</t>
  </si>
  <si>
    <t>12</t>
  </si>
  <si>
    <t>E</t>
  </si>
  <si>
    <t>Growth, inflation and interest rates</t>
  </si>
  <si>
    <t>21</t>
  </si>
  <si>
    <t>Moderate</t>
  </si>
  <si>
    <t>S</t>
  </si>
  <si>
    <t>Population growth, change in demographics, education levels</t>
  </si>
  <si>
    <t>13</t>
  </si>
  <si>
    <t>T</t>
  </si>
  <si>
    <t>Automation and innovation in systems and equipment</t>
  </si>
  <si>
    <t>22</t>
  </si>
  <si>
    <t>L</t>
  </si>
  <si>
    <t>Laws, including those on consumer protection and employment</t>
  </si>
  <si>
    <t>31</t>
  </si>
  <si>
    <t>Weather, climate change, environmental policies</t>
  </si>
  <si>
    <t>14</t>
  </si>
  <si>
    <t>23</t>
  </si>
  <si>
    <t>M</t>
  </si>
  <si>
    <t>The plan devised to achieve the vision and goals</t>
  </si>
  <si>
    <t>32</t>
  </si>
  <si>
    <t>O</t>
  </si>
  <si>
    <t>The way the organisation is structured</t>
  </si>
  <si>
    <t>41</t>
  </si>
  <si>
    <t>R</t>
  </si>
  <si>
    <t>The procedures and systems that staff use to get the job done</t>
  </si>
  <si>
    <t>15</t>
  </si>
  <si>
    <t>The roles, capabilities, skills and competencies</t>
  </si>
  <si>
    <t>24</t>
  </si>
  <si>
    <t>A</t>
  </si>
  <si>
    <t>Style of leadership</t>
  </si>
  <si>
    <t>33</t>
  </si>
  <si>
    <t>Core values, internal culture and behaviour</t>
  </si>
  <si>
    <t>42</t>
  </si>
  <si>
    <t>51</t>
  </si>
  <si>
    <t>Score</t>
  </si>
  <si>
    <t>Range</t>
  </si>
  <si>
    <t>‘Life and Limb’</t>
  </si>
  <si>
    <t>Customer Service</t>
  </si>
  <si>
    <t>Staffing &amp; Culture</t>
  </si>
  <si>
    <t>Compliance with regulations/Law</t>
  </si>
  <si>
    <t>Reputation</t>
  </si>
  <si>
    <t xml:space="preserve">Financial </t>
  </si>
  <si>
    <t>Example description</t>
  </si>
  <si>
    <t>25</t>
  </si>
  <si>
    <t>Loss of life due to injury or illness</t>
  </si>
  <si>
    <t xml:space="preserve">Severe, prolonged impact on delivery and business continuity, e.g. decanting residents due to structural issues </t>
  </si>
  <si>
    <t>Severe impact on employee motivation leading to prolonged dissatisfaction and high staff turnover impacting on service provision</t>
  </si>
  <si>
    <t>Major breach leading to suspension / discontinuance of business or outsourcing/ privatisation / criminal negligence</t>
  </si>
  <si>
    <t>External reputation irrevocably damaged</t>
  </si>
  <si>
    <t>Over £100M
OR
above 30% of scheme costs</t>
  </si>
  <si>
    <t>Almost certain</t>
  </si>
  <si>
    <t>The risk is imminent</t>
  </si>
  <si>
    <t>34</t>
  </si>
  <si>
    <t>Serious injury or illness resulting in long-term impairment e.g. pandemic or asbestos related</t>
  </si>
  <si>
    <t>Serious disruption to delivery and business continuity, e.g.  contractor going out of business</t>
  </si>
  <si>
    <t>Significant impact on employee motivation resulting some staff leaving and poor quality service delivery</t>
  </si>
  <si>
    <t>Serious breach causing intervention, sanctions and legal action</t>
  </si>
  <si>
    <t>External reputation seriously damaged with considerable effort and expense required to redeem</t>
  </si>
  <si>
    <t>£10M-£100M
OR
up to 30% of scheme costs</t>
  </si>
  <si>
    <t>The risk is very likely to occur</t>
  </si>
  <si>
    <t>43</t>
  </si>
  <si>
    <t>Significant injury or illness with no long-term effects</t>
  </si>
  <si>
    <t>Medium term disruption to delivery and business continuity</t>
  </si>
  <si>
    <t>Moderate impact on employee motivation resulting in intermittent impacts to service delivery</t>
  </si>
  <si>
    <t>Significant impact leading to warning of threat of sanctions or legal action</t>
  </si>
  <si>
    <t>Reputation seriously damaged with some effort and expense required to redeem</t>
  </si>
  <si>
    <t>£1M-£10M
OR
up to 10% of scheme costs</t>
  </si>
  <si>
    <t>The risk may occur but it's difficult to know</t>
  </si>
  <si>
    <t>52</t>
  </si>
  <si>
    <t>Moderate, non-life-threatening injury or illness</t>
  </si>
  <si>
    <t>Moderate impact on delivery and business continuity</t>
  </si>
  <si>
    <t>Affects the motivation of small groups of staff</t>
  </si>
  <si>
    <t>Moderate impact due to non-compliance leading to reprimand</t>
  </si>
  <si>
    <t>Reputation minimally affected with little effort and expense required to redeem</t>
  </si>
  <si>
    <t>£100K-£1M
OR
up to 5% of scheme costs</t>
  </si>
  <si>
    <t>The risk is unlikely but possible</t>
  </si>
  <si>
    <t>35</t>
  </si>
  <si>
    <t>Minor superficial injury or illness</t>
  </si>
  <si>
    <t>Minor impact on delivery and business continuity</t>
  </si>
  <si>
    <t>Temporary impact on the motivation of individuals</t>
  </si>
  <si>
    <t>Minor impact with no reprimand, sanction or legal action</t>
  </si>
  <si>
    <t>Reputation unaffected with no effort and expense required to redeem</t>
  </si>
  <si>
    <t>Up to £100K
OR
within scheme contingency</t>
  </si>
  <si>
    <t>The risk is unlikely but not ruled out</t>
  </si>
  <si>
    <t>44</t>
  </si>
  <si>
    <t>53</t>
  </si>
  <si>
    <t>45</t>
  </si>
  <si>
    <t>54</t>
  </si>
  <si>
    <t>55</t>
  </si>
  <si>
    <t>Risk data</t>
  </si>
  <si>
    <t>Control Owner</t>
  </si>
  <si>
    <t xml:space="preserve">Programme </t>
  </si>
  <si>
    <t>Low</t>
  </si>
  <si>
    <t>High</t>
  </si>
  <si>
    <t>Critical</t>
  </si>
  <si>
    <t>Project reference followed by number, e.g. PR_O001</t>
  </si>
  <si>
    <t>Opportunity Ref</t>
  </si>
  <si>
    <t>Opportunity Description</t>
  </si>
  <si>
    <t>Workstream  Category</t>
  </si>
  <si>
    <t>00</t>
  </si>
  <si>
    <r>
      <t>Priority</t>
    </r>
    <r>
      <rPr>
        <b/>
        <sz val="10"/>
        <color theme="0"/>
        <rFont val="Arial"/>
        <family val="2"/>
      </rPr>
      <t xml:space="preserve"> 
values</t>
    </r>
  </si>
  <si>
    <t>Value Description</t>
  </si>
  <si>
    <r>
      <t>Severity</t>
    </r>
    <r>
      <rPr>
        <b/>
        <sz val="10"/>
        <color theme="0"/>
        <rFont val="Arial"/>
        <family val="2"/>
      </rPr>
      <t xml:space="preserve"> 
values</t>
    </r>
  </si>
  <si>
    <r>
      <t>Status</t>
    </r>
    <r>
      <rPr>
        <b/>
        <sz val="10"/>
        <color theme="0"/>
        <rFont val="Arial"/>
        <family val="2"/>
      </rPr>
      <t xml:space="preserve"> 
values</t>
    </r>
  </si>
  <si>
    <r>
      <t xml:space="preserve">The issue requires action as soon as possible. The issue </t>
    </r>
    <r>
      <rPr>
        <u/>
        <sz val="8"/>
        <rFont val="Arial"/>
        <family val="2"/>
      </rPr>
      <t>will</t>
    </r>
    <r>
      <rPr>
        <sz val="8"/>
        <rFont val="Arial"/>
        <family val="2"/>
      </rPr>
      <t xml:space="preserve"> effect activities on the project's critical path.</t>
    </r>
  </si>
  <si>
    <t>This issue will have a high impact on the success of the project and is likely to stop it proceeding. Unacceptable effects will be experienced by the business / end users.</t>
  </si>
  <si>
    <t>1. Investigating</t>
  </si>
  <si>
    <t>The issue is under investigation in order to determine its full extent, what possible solution/s may be applied, and whether it needs to be escalated.</t>
  </si>
  <si>
    <r>
      <t xml:space="preserve">The issue may be delayed slightly while "Immediate" issues are being addressed. The issue </t>
    </r>
    <r>
      <rPr>
        <u/>
        <sz val="8"/>
        <rFont val="Arial"/>
        <family val="2"/>
      </rPr>
      <t>may</t>
    </r>
    <r>
      <rPr>
        <sz val="8"/>
        <rFont val="Arial"/>
        <family val="2"/>
      </rPr>
      <t xml:space="preserve"> effect activities on the project's critical path.</t>
    </r>
  </si>
  <si>
    <t>This issue will have a noticable impact on the success of the project. Effects will be detrimental however the business / end users may continue.</t>
  </si>
  <si>
    <t>If required, the issue has been escalated to the project sponsor and/or steering committee. Direction and/or approval of the solution is required.</t>
  </si>
  <si>
    <r>
      <t xml:space="preserve">The issue may be delayed while "Soon" issues are being addressed. The issue </t>
    </r>
    <r>
      <rPr>
        <u/>
        <sz val="8"/>
        <rFont val="Arial"/>
        <family val="2"/>
      </rPr>
      <t>does not</t>
    </r>
    <r>
      <rPr>
        <sz val="8"/>
        <rFont val="Arial"/>
        <family val="2"/>
      </rPr>
      <t xml:space="preserve"> effect activities on the project's critical path.</t>
    </r>
  </si>
  <si>
    <t>This issue will have a low impact on the success of the project. Effects may be dealt with as they occur, and the business / end users may continue.</t>
  </si>
  <si>
    <t>The solution to the issue has been found, and is in the process of being implemented.</t>
  </si>
  <si>
    <t>Resolved</t>
  </si>
  <si>
    <t>The solution to the issue has been implemented, and is resolved.</t>
  </si>
  <si>
    <t>5. Unassigned</t>
  </si>
  <si>
    <t>Risk Score</t>
  </si>
  <si>
    <t>&lt;5%</t>
  </si>
  <si>
    <t>&lt;1%</t>
  </si>
  <si>
    <t>Green</t>
  </si>
  <si>
    <t>Low Risk</t>
  </si>
  <si>
    <t>Moderate Risk</t>
  </si>
  <si>
    <t>High Risk</t>
  </si>
  <si>
    <t>Red</t>
  </si>
  <si>
    <t>Southwark Construction Programme Risk Management Framework</t>
  </si>
  <si>
    <t>Based on Actual Risk Register Data</t>
  </si>
  <si>
    <t>Programme Objectives (Aligned with Risk Register)</t>
  </si>
  <si>
    <t>Primary Objective</t>
  </si>
  <si>
    <t>Deliver the Southwark Construction Programme on time, within budget, and to the highest safety standards while managing identified risks and maintaining stakeholder confidence.</t>
  </si>
  <si>
    <t>Strategic Objectives by Risk Category</t>
  </si>
  <si>
    <t>Maintain programme delivery within HRA financing parameters and rental income projections</t>
  </si>
  <si>
    <t>Minimize void periods and maximize rental income from new properties</t>
  </si>
  <si>
    <t>Ensure programme viability despite external financial pressures</t>
  </si>
  <si>
    <t>Maintain full PCR 2015 compliance across all procurement activities</t>
  </si>
  <si>
    <t>Avoid regulatory sanctions, legal challenges, and financial penalties</t>
  </si>
  <si>
    <t>Establish consistent procurement approaches through PMO oversight</t>
  </si>
  <si>
    <t>Eliminate lone working incidents and personal safety risks</t>
  </si>
  <si>
    <t>Maintain robust safety protocols especially in high-risk areas (e.g., Aylesbury Estate)</t>
  </si>
  <si>
    <t>Ensure staff welfare and prevent injury-related resource impacts</t>
  </si>
  <si>
    <t>Maintain data integrity across all scheme reporting</t>
  </si>
  <si>
    <t>Ensure accurate information flow to internal and external stakeholders</t>
  </si>
  <si>
    <t>Support effective cost flow and resource management</t>
  </si>
  <si>
    <t>Address recruitment and retention challenges to maintain delivery capability</t>
  </si>
  <si>
    <t>Prevent capability gaps that increase pressure on remaining staff</t>
  </si>
  <si>
    <t>Ensure adequate staff capacity meets programme demands</t>
  </si>
  <si>
    <t>Top 5 Programme KPIs (Derived from Risk Register)</t>
  </si>
  <si>
    <r>
      <t>1. Risk-Adjusted Programme Delivery</t>
    </r>
    <r>
      <rPr>
        <sz val="10"/>
        <rFont val="Arial"/>
        <family val="2"/>
      </rPr>
      <t xml:space="preserve"> - Percentage of programme delivered considering risk impact (Target: &gt;90%)</t>
    </r>
  </si>
  <si>
    <r>
      <t>2. Expected Annual Loss Ratio</t>
    </r>
    <r>
      <rPr>
        <sz val="10"/>
        <rFont val="Arial"/>
        <family val="2"/>
      </rPr>
      <t xml:space="preserve"> - Total expected programme loss vs. programme value (Target: &lt;2%)</t>
    </r>
  </si>
  <si>
    <r>
      <t>3. Risk Score Reduction</t>
    </r>
    <r>
      <rPr>
        <sz val="10"/>
        <rFont val="Arial"/>
        <family val="2"/>
      </rPr>
      <t xml:space="preserve"> - Percentage reduction in overall risk scores through mitigation (Target: &gt;30%)</t>
    </r>
  </si>
  <si>
    <r>
      <t>4. Critical Risk Management</t>
    </r>
    <r>
      <rPr>
        <sz val="10"/>
        <rFont val="Arial"/>
        <family val="2"/>
      </rPr>
      <t xml:space="preserve"> - Percentage of severe/major risks with effective controls (Target: 100%)</t>
    </r>
  </si>
  <si>
    <r>
      <t>5. Regulatory Compliance Rate</t>
    </r>
    <r>
      <rPr>
        <sz val="10"/>
        <rFont val="Arial"/>
        <family val="2"/>
      </rPr>
      <t xml:space="preserve"> - Compliance with PCR 2015 and safety regulations (Target: 100%)</t>
    </r>
  </si>
  <si>
    <t>KRI Calculations Based on Risk Register Data</t>
  </si>
  <si>
    <t>Financial KRIs</t>
  </si>
  <si>
    <r>
      <t>Void Risk Exposure</t>
    </r>
    <r>
      <rPr>
        <sz val="10"/>
        <rFont val="Arial"/>
        <family val="2"/>
      </rPr>
      <t xml:space="preserve"> = (Expected void loss £12.5M / Programme value £500M) × 100% = </t>
    </r>
    <r>
      <rPr>
        <b/>
        <sz val="10"/>
        <rFont val="Arial"/>
        <family val="2"/>
      </rPr>
      <t>2.5%</t>
    </r>
  </si>
  <si>
    <r>
      <t>Financial Risk Concentration</t>
    </r>
    <r>
      <rPr>
        <sz val="10"/>
        <rFont val="Arial"/>
        <family val="2"/>
      </rPr>
      <t xml:space="preserve"> = Sum of all financial expected losses / Total programme value</t>
    </r>
  </si>
  <si>
    <t>Procurement KRIs</t>
  </si>
  <si>
    <r>
      <t>PCR 2015 Compliance Risk</t>
    </r>
    <r>
      <rPr>
        <sz val="10"/>
        <rFont val="Arial"/>
        <family val="2"/>
      </rPr>
      <t xml:space="preserve"> = Current risk score for PR_-0005 = </t>
    </r>
    <r>
      <rPr>
        <b/>
        <sz val="10"/>
        <rFont val="Arial"/>
        <family val="2"/>
      </rPr>
      <t>4 (Moderate)</t>
    </r>
  </si>
  <si>
    <r>
      <t>Procurement Risk Materiality</t>
    </r>
    <r>
      <rPr>
        <sz val="10"/>
        <rFont val="Arial"/>
        <family val="2"/>
      </rPr>
      <t xml:space="preserve"> = Expected loss £10M / Programme value = </t>
    </r>
    <r>
      <rPr>
        <b/>
        <sz val="10"/>
        <rFont val="Arial"/>
        <family val="2"/>
      </rPr>
      <t>2%</t>
    </r>
  </si>
  <si>
    <t>Health &amp; Safety KRIs</t>
  </si>
  <si>
    <r>
      <t>Lone Working Risk Score</t>
    </r>
    <r>
      <rPr>
        <sz val="10"/>
        <rFont val="Arial"/>
        <family val="2"/>
      </rPr>
      <t xml:space="preserve"> = Current risk score for PR_-0004 = </t>
    </r>
    <r>
      <rPr>
        <b/>
        <sz val="10"/>
        <rFont val="Arial"/>
        <family val="2"/>
      </rPr>
      <t>12 (Major)</t>
    </r>
  </si>
  <si>
    <r>
      <t>Safety Risk Frequency</t>
    </r>
    <r>
      <rPr>
        <sz val="10"/>
        <rFont val="Arial"/>
        <family val="2"/>
      </rPr>
      <t xml:space="preserve"> = Expected incidents per year = </t>
    </r>
    <r>
      <rPr>
        <b/>
        <sz val="10"/>
        <rFont val="Arial"/>
        <family val="2"/>
      </rPr>
      <t>0.5</t>
    </r>
  </si>
  <si>
    <t>Programme KRIs</t>
  </si>
  <si>
    <r>
      <t>Data Integrity Risk Score</t>
    </r>
    <r>
      <rPr>
        <sz val="10"/>
        <rFont val="Arial"/>
        <family val="2"/>
      </rPr>
      <t xml:space="preserve"> = Current risk score for PR_0000 = </t>
    </r>
    <r>
      <rPr>
        <b/>
        <sz val="10"/>
        <rFont val="Arial"/>
        <family val="2"/>
      </rPr>
      <t>3 (Minor)</t>
    </r>
  </si>
  <si>
    <r>
      <t>Programme Information Risk</t>
    </r>
    <r>
      <rPr>
        <sz val="10"/>
        <rFont val="Arial"/>
        <family val="2"/>
      </rPr>
      <t xml:space="preserve"> = Impact on stakeholder confidence and management capability</t>
    </r>
  </si>
  <si>
    <r>
      <t>Recruitment Risk Score</t>
    </r>
    <r>
      <rPr>
        <sz val="10"/>
        <rFont val="Arial"/>
        <family val="2"/>
      </rPr>
      <t xml:space="preserve"> = Current risk score for PR_-0001 = </t>
    </r>
    <r>
      <rPr>
        <b/>
        <sz val="10"/>
        <rFont val="Arial"/>
        <family val="2"/>
      </rPr>
      <t>4 (Minor)</t>
    </r>
  </si>
  <si>
    <r>
      <t>Capacity Risk Impact</t>
    </r>
    <r>
      <rPr>
        <sz val="10"/>
        <rFont val="Arial"/>
        <family val="2"/>
      </rPr>
      <t xml:space="preserve"> = Expected cost of resource gaps / Programme value</t>
    </r>
  </si>
  <si>
    <t>Risk Appetite Framework</t>
  </si>
  <si>
    <t>Risk Category</t>
  </si>
  <si>
    <t>Appetite Level</t>
  </si>
  <si>
    <t>Rationale</t>
  </si>
  <si>
    <t>Threshold Based on Register</t>
  </si>
  <si>
    <t>LOW</t>
  </si>
  <si>
    <t>HRA viability critical</t>
  </si>
  <si>
    <t>Risk scores &gt;15 require immediate action</t>
  </si>
  <si>
    <t>ZERO</t>
  </si>
  <si>
    <t>Regulatory compliance mandatory</t>
  </si>
  <si>
    <t>Any PCR 2015 breaches unacceptable</t>
  </si>
  <si>
    <t>Staff safety non-negotiable</t>
  </si>
  <si>
    <t>Risk scores &gt;12 require immediate action</t>
  </si>
  <si>
    <t>MODERATE</t>
  </si>
  <si>
    <t>Quality over speed</t>
  </si>
  <si>
    <t>Risk scores &lt;9 acceptable</t>
  </si>
  <si>
    <t>Balanced resource optimization</t>
  </si>
  <si>
    <t>KRI Monitoring Dashboard</t>
  </si>
  <si>
    <t>KRI Name</t>
  </si>
  <si>
    <t>Risk Appetite</t>
  </si>
  <si>
    <t>Current Value</t>
  </si>
  <si>
    <t>Green Threshold</t>
  </si>
  <si>
    <t>Amber Threshold</t>
  </si>
  <si>
    <t>Red Threshold</t>
  </si>
  <si>
    <t>Trend</t>
  </si>
  <si>
    <t>Owner</t>
  </si>
  <si>
    <t>Action Required</t>
  </si>
  <si>
    <t>Void Risk Exposure</t>
  </si>
  <si>
    <t>1-3%</t>
  </si>
  <si>
    <t>&gt;3%</t>
  </si>
  <si>
    <t>Amber</t>
  </si>
  <si>
    <t>Stable</t>
  </si>
  <si>
    <t>Enhanced handover process</t>
  </si>
  <si>
    <t>Expected Annual Loss</t>
  </si>
  <si>
    <t>£25M</t>
  </si>
  <si>
    <t>&lt;£10M</t>
  </si>
  <si>
    <t>£10-20M</t>
  </si>
  <si>
    <t>&gt;£20M</t>
  </si>
  <si>
    <t>Immediate risk review</t>
  </si>
  <si>
    <t>PCR 2015 Risk Score</t>
  </si>
  <si>
    <t>&gt;6</t>
  </si>
  <si>
    <t>Improving</t>
  </si>
  <si>
    <t>Continue training programme</t>
  </si>
  <si>
    <t>Compliance Exposure</t>
  </si>
  <si>
    <t>&lt;0.5%</t>
  </si>
  <si>
    <t>0.5-1%</t>
  </si>
  <si>
    <t>&gt;1%</t>
  </si>
  <si>
    <t>Strengthen oversight</t>
  </si>
  <si>
    <t>Lone Working Risk Score</t>
  </si>
  <si>
    <t>&gt;12</t>
  </si>
  <si>
    <t>Maintain enhanced measures</t>
  </si>
  <si>
    <t>Safety Incident Frequency</t>
  </si>
  <si>
    <t>0.5/year</t>
  </si>
  <si>
    <t>0.1-0.3</t>
  </si>
  <si>
    <t>&gt;0.3</t>
  </si>
  <si>
    <t>Review safety protocols</t>
  </si>
  <si>
    <t>Data Integrity Risk Score</t>
  </si>
  <si>
    <t>Continue validation</t>
  </si>
  <si>
    <t>Information Quality Index</t>
  </si>
  <si>
    <t>&gt;90%</t>
  </si>
  <si>
    <t>80-90%</t>
  </si>
  <si>
    <t>&lt;80%</t>
  </si>
  <si>
    <t>Data training ongoing</t>
  </si>
  <si>
    <t>Recruitment Risk Score</t>
  </si>
  <si>
    <t>Monitor retention initiatives</t>
  </si>
  <si>
    <t>Capacity Risk Impact</t>
  </si>
  <si>
    <t>£10M</t>
  </si>
  <si>
    <t>&lt;£5M</t>
  </si>
  <si>
    <t>£5-15M</t>
  </si>
  <si>
    <t>&gt;£15M</t>
  </si>
  <si>
    <t>Continue recruitment</t>
  </si>
  <si>
    <t>KPI-KRI Alignment Dashboard</t>
  </si>
  <si>
    <t>KPI</t>
  </si>
  <si>
    <t>Related KRIs</t>
  </si>
  <si>
    <t>Current Performance</t>
  </si>
  <si>
    <t>Action</t>
  </si>
  <si>
    <t>Risk-Adjusted Programme Delivery</t>
  </si>
  <si>
    <t>All risk scores, expected losses</t>
  </si>
  <si>
    <t>To be calculated</t>
  </si>
  <si>
    <r>
      <t xml:space="preserve">🟡 </t>
    </r>
    <r>
      <rPr>
        <b/>
        <sz val="10"/>
        <rFont val="Arial"/>
        <family val="2"/>
      </rPr>
      <t>Watch</t>
    </r>
  </si>
  <si>
    <t>Monitor all red KRIs</t>
  </si>
  <si>
    <t>Expected Annual Loss Ratio (5%)</t>
  </si>
  <si>
    <t>Void Risk (2.5%), PCR Risk (2%), Other risks</t>
  </si>
  <si>
    <t>£25M / £500M = 5%</t>
  </si>
  <si>
    <r>
      <t xml:space="preserve">🔴 </t>
    </r>
    <r>
      <rPr>
        <b/>
        <sz val="10"/>
        <rFont val="Arial"/>
        <family val="2"/>
      </rPr>
      <t>Critical</t>
    </r>
  </si>
  <si>
    <t>Immediate risk mitigation</t>
  </si>
  <si>
    <t>Risk Score Reduction</t>
  </si>
  <si>
    <t>All current vs initial risk scores</t>
  </si>
  <si>
    <t>PR_-0001: 8→4 (50% reduction)</t>
  </si>
  <si>
    <r>
      <t xml:space="preserve">🟢 </t>
    </r>
    <r>
      <rPr>
        <b/>
        <sz val="10"/>
        <rFont val="Arial"/>
        <family val="2"/>
      </rPr>
      <t>On Track</t>
    </r>
  </si>
  <si>
    <t>Continue mitigation</t>
  </si>
  <si>
    <t>Critical Risk Management (60%)</t>
  </si>
  <si>
    <t>Major/Severe risks with controls</t>
  </si>
  <si>
    <t>3 of 5 major+ risks managed</t>
  </si>
  <si>
    <r>
      <t xml:space="preserve">🟡 </t>
    </r>
    <r>
      <rPr>
        <b/>
        <sz val="10"/>
        <rFont val="Arial"/>
        <family val="2"/>
      </rPr>
      <t>Review</t>
    </r>
  </si>
  <si>
    <t>Enhance void property controls</t>
  </si>
  <si>
    <t>Regulatory Compliance Rate</t>
  </si>
  <si>
    <t>PCR 2015, Safety compliance</t>
  </si>
  <si>
    <t>Currently at risk</t>
  </si>
  <si>
    <t>Strengthen compliance</t>
  </si>
  <si>
    <t>KRI &amp; KPI Calculation Reference</t>
  </si>
  <si>
    <t>KRI (Key Risk Indicators) Current Dashboard</t>
  </si>
  <si>
    <t>Calculation Method</t>
  </si>
  <si>
    <t>Thresholds</t>
  </si>
  <si>
    <t>Percentage Risk</t>
  </si>
  <si>
    <t>(Void Properties / Total Properties) × 100</t>
  </si>
  <si>
    <t>Green: &lt;1%</t>
  </si>
  <si>
    <t>Amber: 1-3%</t>
  </si>
  <si>
    <t>Red: &gt;3%</t>
  </si>
  <si>
    <t>AMBER</t>
  </si>
  <si>
    <t>Monetary Value</t>
  </si>
  <si>
    <t>Sum of (Probability × Impact) for all risks</t>
  </si>
  <si>
    <t>Green: &lt;£10M</t>
  </si>
  <si>
    <t>Amber: £10-20M</t>
  </si>
  <si>
    <t>Red: &gt;£20M</t>
  </si>
  <si>
    <t>RED</t>
  </si>
  <si>
    <t>Risk Score (1-12)</t>
  </si>
  <si>
    <t>Likelihood × Impact Matrix Score</t>
  </si>
  <si>
    <t>Green: 0-1</t>
  </si>
  <si>
    <t>Amber: 3-4</t>
  </si>
  <si>
    <t>Red: &gt;6</t>
  </si>
  <si>
    <t>(Non-compliant Cases / Total Cases) × 100</t>
  </si>
  <si>
    <t>Green: &lt;0.5%</t>
  </si>
  <si>
    <t>Amber: 0.5-1%</t>
  </si>
  <si>
    <t>Red: &gt;1%</t>
  </si>
  <si>
    <t>Lone Working Risk</t>
  </si>
  <si>
    <t>Amber: 6-7</t>
  </si>
  <si>
    <t>Red: &gt;12</t>
  </si>
  <si>
    <t>Frequency Rate</t>
  </si>
  <si>
    <t>Number of Incidents / Time Period</t>
  </si>
  <si>
    <t>Green: 0</t>
  </si>
  <si>
    <t>Amber: 0.1-0.3</t>
  </si>
  <si>
    <t>Red: &gt;0.3</t>
  </si>
  <si>
    <t>Data Integrity Risk</t>
  </si>
  <si>
    <t>Data Quality Assessment Score</t>
  </si>
  <si>
    <t>GREEN</t>
  </si>
  <si>
    <t>Information Quality</t>
  </si>
  <si>
    <t>Quality Index</t>
  </si>
  <si>
    <t>(Quality Score / Maximum Score) × 100</t>
  </si>
  <si>
    <t>Green: &gt;90%</t>
  </si>
  <si>
    <t>Amber: 80-90%</t>
  </si>
  <si>
    <t>Red: &lt;80%</t>
  </si>
  <si>
    <t>Recruitment Risk</t>
  </si>
  <si>
    <t>Staffing Gap × Business Impact</t>
  </si>
  <si>
    <t>Financial Impact</t>
  </si>
  <si>
    <t>Green: &lt;£5M</t>
  </si>
  <si>
    <t>Amber: £5-15M</t>
  </si>
  <si>
    <t>Red: &gt;£15M</t>
  </si>
  <si>
    <t>KPI (Key Performance Indicators) Alignment Dashboard</t>
  </si>
  <si>
    <t>KPI Name</t>
  </si>
  <si>
    <t>Calculation Formula</t>
  </si>
  <si>
    <t>Weighted Average of All Risk Scores</t>
  </si>
  <si>
    <t>WATCH</t>
  </si>
  <si>
    <t>Expected Annual Loss Ratio</t>
  </si>
  <si>
    <t>Total Expected Loss / Total Asset Value × 100</t>
  </si>
  <si>
    <t>CRITICAL</t>
  </si>
  <si>
    <t>(Initial Score - Current Score) / Initial Score × 100</t>
  </si>
  <si>
    <t>ON TRACK</t>
  </si>
  <si>
    <t>Critical Risk Management Rate</t>
  </si>
  <si>
    <t>(Risks with Controls / Total Major Risks) × 100</t>
  </si>
  <si>
    <t>3 of 5 major+ risks managed = 60%</t>
  </si>
  <si>
    <t>REVIEW</t>
  </si>
  <si>
    <t>(Compliant Items / Total Required Items) × 100</t>
  </si>
  <si>
    <t>Status Legend &amp; Calculation Notes</t>
  </si>
  <si>
    <t>Criteria</t>
  </si>
  <si>
    <t>Calculation Notes</t>
  </si>
  <si>
    <t>Within risk appetite/target performance</t>
  </si>
  <si>
    <t>Continue monitoring</t>
  </si>
  <si>
    <t>Values below green thresholds</t>
  </si>
  <si>
    <t>Approaching limits, requires attention</t>
  </si>
  <si>
    <t>Enhanced monitoring &amp; corrective action</t>
  </si>
  <si>
    <t>Values between amber thresholds</t>
  </si>
  <si>
    <t>Exceeds acceptable limits</t>
  </si>
  <si>
    <t>Immediate action &amp; escalation required</t>
  </si>
  <si>
    <t>Values exceed red thresholds</t>
  </si>
  <si>
    <t>🎯 Key Insights from Risk Appetite Analysis</t>
  </si>
  <si>
    <t>⚠️ Priority Actions Required</t>
  </si>
  <si>
    <t>✅ Well-Managed Areas</t>
  </si>
  <si>
    <t>Risk Appetite Framework - Strategic Foundation</t>
  </si>
  <si>
    <t>Strategic Rationale</t>
  </si>
  <si>
    <t>Framework Threshold</t>
  </si>
  <si>
    <t>Current KRI Alignment</t>
  </si>
  <si>
    <t>Gap Analysis</t>
  </si>
  <si>
    <t>Financial stability essential for core operations</t>
  </si>
  <si>
    <t>Expected Annual Loss: £25M (RED)</t>
  </si>
  <si>
    <t>Void Risk: 2.5% (AMBER)</t>
  </si>
  <si>
    <t>MISALIGNED</t>
  </si>
  <si>
    <t>Framework uses score &gt;15, KRI uses monetary thresholds</t>
  </si>
  <si>
    <t>No tolerance for procurement breaches</t>
  </si>
  <si>
    <t>PCR Risk Score: 4 (AMBER)</t>
  </si>
  <si>
    <t>Compliance: 2% (RED)</t>
  </si>
  <si>
    <t>ALIGNED</t>
  </si>
  <si>
    <t>Zero tolerance reflected in tight thresholds</t>
  </si>
  <si>
    <t>No acceptable level of safety risk</t>
  </si>
  <si>
    <t>Lone Working: 12 (RED)</t>
  </si>
  <si>
    <t>Incidents: 0.5/year (RED)</t>
  </si>
  <si>
    <t>PERFECTLY ALIGNED</t>
  </si>
  <si>
    <t>Score of exactly 12 triggers immediate action</t>
  </si>
  <si>
    <t>Accept some risk for programme delivery</t>
  </si>
  <si>
    <t>Data Integrity: 3 (GREEN)</t>
  </si>
  <si>
    <t>Info Quality: 85% (AMBER)</t>
  </si>
  <si>
    <t>WELL WITHIN APPETITE</t>
  </si>
  <si>
    <t>Score of 3 comfortably below 9 threshold</t>
  </si>
  <si>
    <t>Manage cost vs capability trade-offs</t>
  </si>
  <si>
    <t>Recruitment Risk: 4 (AMBER)</t>
  </si>
  <si>
    <t>Capacity Impact: £10M (AMBER)</t>
  </si>
  <si>
    <t>WITHIN APPETITE</t>
  </si>
  <si>
    <t>Score of 4 within acceptable range</t>
  </si>
  <si>
    <t>Cost Performance Index</t>
  </si>
  <si>
    <t>Performance Ratio</t>
  </si>
  <si>
    <t>Earned Value / Actual Cost</t>
  </si>
  <si>
    <t>To be measured</t>
  </si>
  <si>
    <t>Green: &gt;0.95</t>
  </si>
  <si>
    <t>Amber: 0.85-0.95</t>
  </si>
  <si>
    <t>Red: &lt;0.85</t>
  </si>
  <si>
    <t>TBD</t>
  </si>
  <si>
    <t>Programme Manager</t>
  </si>
  <si>
    <t>Programme Health Score</t>
  </si>
  <si>
    <t>Weighted Average</t>
  </si>
  <si>
    <t>Weighted Average of Workstream RAG Status</t>
  </si>
  <si>
    <t>Green: &gt;80%</t>
  </si>
  <si>
    <t>Amber: 60-80%</t>
  </si>
  <si>
    <t>Red: &lt;60%</t>
  </si>
  <si>
    <t>Milestone Achievement Rate</t>
  </si>
  <si>
    <t>Achievement Percentage</t>
  </si>
  <si>
    <t>(Milestones Achieved On Time / Total Milestones) × 100</t>
  </si>
  <si>
    <t>Amber: 75-90%</t>
  </si>
  <si>
    <t>Red: &lt;75%</t>
  </si>
  <si>
    <t>Benefits Realisation Index</t>
  </si>
  <si>
    <t>Benefits Ratio</t>
  </si>
  <si>
    <t>(Actual Benefits / Planned Benefits) × 100</t>
  </si>
  <si>
    <t>Amber: 70-90%</t>
  </si>
  <si>
    <t>Red: &lt;70%</t>
  </si>
  <si>
    <t>Benefits Manager</t>
  </si>
  <si>
    <t>Stakeholder Confidence Index</t>
  </si>
  <si>
    <t>Satisfaction Score</t>
  </si>
  <si>
    <t>Average Stakeholder Satisfaction Score (1-5)</t>
  </si>
  <si>
    <t>Green: &gt;4.0</t>
  </si>
  <si>
    <t>Amber: 3.0-4.0</t>
  </si>
  <si>
    <t>Red: &lt;3.0</t>
  </si>
  <si>
    <t>Stakeholder Manager</t>
  </si>
  <si>
    <t>Quality Performance Index</t>
  </si>
  <si>
    <t>Quality Percentage</t>
  </si>
  <si>
    <t>(Quality Gates Passed / Total Quality Gates) × 100</t>
  </si>
  <si>
    <t>Green: &gt;95%</t>
  </si>
  <si>
    <t>Amber: 85-95%</t>
  </si>
  <si>
    <t>Red: &lt;85%</t>
  </si>
  <si>
    <t>Quality Manager</t>
  </si>
  <si>
    <t>Schedule Performance Index</t>
  </si>
  <si>
    <t>Earned Value / Planned Value</t>
  </si>
  <si>
    <t>Programme Man</t>
  </si>
  <si>
    <r>
      <t>Schedule Performance Index (SPI)</t>
    </r>
    <r>
      <rPr>
        <sz val="10"/>
        <rFont val="Arial"/>
        <family val="2"/>
      </rPr>
      <t xml:space="preserve"> = Earned Value / Planned Value = [To be measured] (Performance indicator)</t>
    </r>
  </si>
  <si>
    <r>
      <t>Cost Performance Index (CPI)</t>
    </r>
    <r>
      <rPr>
        <sz val="10"/>
        <rFont val="Arial"/>
        <family val="2"/>
      </rPr>
      <t xml:space="preserve"> = Earned Value / Actual Cost = [To be measured] (Budget performance indicator)</t>
    </r>
  </si>
  <si>
    <r>
      <t>Programme Health Score</t>
    </r>
    <r>
      <rPr>
        <sz val="10"/>
        <rFont val="Arial"/>
        <family val="2"/>
      </rPr>
      <t xml:space="preserve"> = Weighted average of workstream RAG status = [To be measured] (Overall programme status)</t>
    </r>
  </si>
  <si>
    <r>
      <t>Milestone Achievement Rate</t>
    </r>
    <r>
      <rPr>
        <sz val="10"/>
        <rFont val="Arial"/>
        <family val="2"/>
      </rPr>
      <t xml:space="preserve"> = (Milestones Achieved On Time / Total Milestones) × 100 = [To be measured] (Delivery performance)</t>
    </r>
  </si>
  <si>
    <r>
      <t>Benefits Realisation Index</t>
    </r>
    <r>
      <rPr>
        <sz val="10"/>
        <rFont val="Arial"/>
        <family val="2"/>
      </rPr>
      <t xml:space="preserve"> = (Actual Benefits / Planned Benefits) × 100 = [To be measured] (Value delivery indicator)</t>
    </r>
  </si>
  <si>
    <r>
      <t>Stakeholder Confidence Index</t>
    </r>
    <r>
      <rPr>
        <sz val="10"/>
        <rFont val="Arial"/>
        <family val="2"/>
      </rPr>
      <t xml:space="preserve"> = Average stakeholder satisfaction score (1-5) = [To be measured] (Stakeholder engagement indicator)</t>
    </r>
  </si>
  <si>
    <r>
      <t>Quality Performance Index</t>
    </r>
    <r>
      <rPr>
        <sz val="10"/>
        <rFont val="Arial"/>
        <family val="2"/>
      </rPr>
      <t xml:space="preserve"> = (Quality Gates Passed / Total Quality Gates) × 100 = [To be measured] (Quality assurance indicator)</t>
    </r>
  </si>
  <si>
    <r>
      <t>Resource Utilisation Rate</t>
    </r>
    <r>
      <rPr>
        <sz val="10"/>
        <rFont val="Arial"/>
        <family val="2"/>
      </rPr>
      <t xml:space="preserve"> = (Actual Resource Hours / Planned Resource Hours) × 100 = [To be measured] (Resource efficiency indicator)</t>
    </r>
  </si>
  <si>
    <r>
      <t>Programme Information Risk</t>
    </r>
    <r>
      <rPr>
        <sz val="10"/>
        <rFont val="Arial"/>
        <family val="2"/>
      </rPr>
      <t xml:space="preserve"> = Impact on stakeholder confidence and management capability = [To be measured] (Information/communication risk)</t>
    </r>
  </si>
  <si>
    <r>
      <t>Change Control Index</t>
    </r>
    <r>
      <rPr>
        <sz val="10"/>
        <rFont val="Arial"/>
        <family val="2"/>
      </rPr>
      <t xml:space="preserve"> = (Approved Changes / Total Change Requests) × 100 = [To be measured] (Change management effectiveness)</t>
    </r>
  </si>
  <si>
    <r>
      <t>Dependencies Management Score</t>
    </r>
    <r>
      <rPr>
        <sz val="10"/>
        <rFont val="Arial"/>
        <family val="2"/>
      </rPr>
      <t xml:space="preserve"> = (Resolved Dependencies / Total Critical Dependencies) × 100 = [To be measured] (Dependency risk indicator)</t>
    </r>
  </si>
  <si>
    <t>KRI Type (Name)</t>
  </si>
  <si>
    <t xml:space="preserve">MODERATE </t>
  </si>
  <si>
    <t xml:space="preserve">RISK APPETITE </t>
  </si>
  <si>
    <t>CONCLUSION</t>
  </si>
  <si>
    <t>Monitor void handover process and data validation</t>
  </si>
  <si>
    <t>Immediate risk mitigation required</t>
  </si>
  <si>
    <t>Continue current mitigation strategies</t>
  </si>
  <si>
    <t>Enhance controls for major risks</t>
  </si>
  <si>
    <t>Strengthen compliance oversight and training</t>
  </si>
  <si>
    <t>🔴 Critical</t>
  </si>
  <si>
    <t>Void Risk Exposure (2.5%), 
PCR 2015 Compliance Exposure (2%), 
Safety Incident Frequency (0.5/year)</t>
  </si>
  <si>
    <t>Lone Working Risk Score (12→improving), 
Recruitment Risk Score (4→improving), 
Data Integrity Risk Score (3→improving)</t>
  </si>
  <si>
    <t>Lone Working Risk Score (12), 
Void Risk Exposure (2.5%), 
PCR 2015 Risk Score (4)</t>
  </si>
  <si>
    <t>PCR 2015 Risk Score (4), 
Safety Incident Frequency (0.5/year), 
Compliance Exposure (2%)</t>
  </si>
  <si>
    <t>Void Risk Exposure (2.5%), 
Data Integrity Risk Score (3)</t>
  </si>
  <si>
    <r>
      <t xml:space="preserve">🟡 </t>
    </r>
    <r>
      <rPr>
        <b/>
        <sz val="12"/>
        <rFont val="Arial"/>
        <family val="2"/>
      </rPr>
      <t>Watch</t>
    </r>
  </si>
  <si>
    <r>
      <t xml:space="preserve">🔴 </t>
    </r>
    <r>
      <rPr>
        <b/>
        <sz val="12"/>
        <rFont val="Arial"/>
        <family val="2"/>
      </rPr>
      <t>Critical</t>
    </r>
  </si>
  <si>
    <r>
      <t xml:space="preserve">🟢 </t>
    </r>
    <r>
      <rPr>
        <b/>
        <sz val="12"/>
        <rFont val="Arial"/>
        <family val="2"/>
      </rPr>
      <t>On Track</t>
    </r>
  </si>
  <si>
    <r>
      <t xml:space="preserve">🟡 </t>
    </r>
    <r>
      <rPr>
        <b/>
        <sz val="12"/>
        <rFont val="Arial"/>
        <family val="2"/>
      </rPr>
      <t>Review</t>
    </r>
  </si>
  <si>
    <r>
      <t>Health &amp; Safety</t>
    </r>
    <r>
      <rPr>
        <sz val="16"/>
        <rFont val="Arial"/>
        <family val="2"/>
      </rPr>
      <t>: Lone Working at exactly threshold (12) - immediate action per framework</t>
    </r>
  </si>
  <si>
    <r>
      <t>Financial</t>
    </r>
    <r>
      <rPr>
        <sz val="16"/>
        <rFont val="Arial"/>
        <family val="2"/>
      </rPr>
      <t>: £25M loss exceeds tolerance - viability at risk</t>
    </r>
  </si>
  <si>
    <r>
      <t>Procurement</t>
    </r>
    <r>
      <rPr>
        <sz val="16"/>
        <rFont val="Arial"/>
        <family val="2"/>
      </rPr>
      <t>: 2% compliance exposure violates zero appetite</t>
    </r>
  </si>
  <si>
    <r>
      <t>Programme</t>
    </r>
    <r>
      <rPr>
        <sz val="16"/>
        <rFont val="Arial"/>
        <family val="2"/>
      </rPr>
      <t>: Data integrity (3) well below threshold (9)</t>
    </r>
  </si>
  <si>
    <r>
      <t>Resourcing</t>
    </r>
    <r>
      <rPr>
        <sz val="16"/>
        <rFont val="Arial"/>
        <family val="2"/>
      </rPr>
      <t>: Recruitment risk (4) within moderate appetite</t>
    </r>
  </si>
  <si>
    <r>
      <t>Framework Alignment</t>
    </r>
    <r>
      <rPr>
        <sz val="16"/>
        <rFont val="Arial"/>
        <family val="2"/>
      </rPr>
      <t>: Most KRIs properly calibrated to appetite</t>
    </r>
  </si>
  <si>
    <t>Resource Shortage Cost × Durations</t>
  </si>
  <si>
    <t>Executive Risk Dashboard Summary</t>
  </si>
  <si>
    <t>Total KRIs</t>
  </si>
  <si>
    <t>GLA Compliance</t>
  </si>
  <si>
    <t>Programme Delivery</t>
  </si>
  <si>
    <t>TOTAL</t>
  </si>
  <si>
    <t>Key Risk Alerts (Red Status)</t>
  </si>
  <si>
    <t>Risk</t>
  </si>
  <si>
    <t>Action Owner</t>
  </si>
  <si>
    <t>Deadline</t>
  </si>
  <si>
    <t>Void Properties</t>
  </si>
  <si>
    <t>Red - 2.5% exposure</t>
  </si>
  <si>
    <t>£12.5M annual loss risk</t>
  </si>
  <si>
    <t>Immediate</t>
  </si>
  <si>
    <t>Lone Working Safety</t>
  </si>
  <si>
    <t>Red - Score 12</t>
  </si>
  <si>
    <t>Staff safety &amp; legal exposure</t>
  </si>
  <si>
    <t>PCR 2015 Compliance</t>
  </si>
  <si>
    <t>Red - 2% exposure</t>
  </si>
  <si>
    <t>£10M penalty risk</t>
  </si>
  <si>
    <t>14 days</t>
  </si>
  <si>
    <t>Risk Trend Analysis (7-day)</t>
  </si>
  <si>
    <t>Key Movement</t>
  </si>
  <si>
    <r>
      <t xml:space="preserve">↗️ </t>
    </r>
    <r>
      <rPr>
        <b/>
        <sz val="10"/>
        <rFont val="Arial"/>
        <family val="2"/>
      </rPr>
      <t>Worsening</t>
    </r>
  </si>
  <si>
    <t>Void risk increasing due to handover delays</t>
  </si>
  <si>
    <r>
      <t xml:space="preserve">↘️ </t>
    </r>
    <r>
      <rPr>
        <b/>
        <sz val="10"/>
        <rFont val="Arial"/>
        <family val="2"/>
      </rPr>
      <t>Improving</t>
    </r>
  </si>
  <si>
    <t>Training programme reducing compliance risk</t>
  </si>
  <si>
    <r>
      <t xml:space="preserve">↔️ </t>
    </r>
    <r>
      <rPr>
        <b/>
        <sz val="10"/>
        <rFont val="Arial"/>
        <family val="2"/>
      </rPr>
      <t>Stable</t>
    </r>
  </si>
  <si>
    <t>Enhanced measures maintaining current levels</t>
  </si>
  <si>
    <t>Data integrity initiatives showing results</t>
  </si>
  <si>
    <t>Recruitment initiatives reducing pressure</t>
  </si>
  <si>
    <t>Critical Actions Required (Next 48 Hours)</t>
  </si>
  <si>
    <r>
      <t>1. Void Properties (Financial)</t>
    </r>
    <r>
      <rPr>
        <sz val="10"/>
        <rFont val="Arial"/>
        <family val="2"/>
      </rPr>
      <t xml:space="preserve"> - Implement emergency handover protocol</t>
    </r>
  </si>
  <si>
    <r>
      <t>2. Lone Working (H&amp;S)</t>
    </r>
    <r>
      <rPr>
        <sz val="10"/>
        <rFont val="Arial"/>
        <family val="2"/>
      </rPr>
      <t xml:space="preserve"> - Review safety measures on high-risk sites</t>
    </r>
  </si>
  <si>
    <r>
      <t>3. PCR 2015 Compliance (Procurement)</t>
    </r>
    <r>
      <rPr>
        <sz val="10"/>
        <rFont val="Arial"/>
        <family val="2"/>
      </rPr>
      <t xml:space="preserve"> - Complete urgent training for key staff</t>
    </r>
  </si>
  <si>
    <t>Programme Risk Exposure Summary</t>
  </si>
  <si>
    <t>Metric</t>
  </si>
  <si>
    <t>Current</t>
  </si>
  <si>
    <t>Target</t>
  </si>
  <si>
    <t>Total Expected Annual Loss</t>
  </si>
  <si>
    <t>&lt;£15M</t>
  </si>
  <si>
    <t>🔴 Above target</t>
  </si>
  <si>
    <t>Active Major Risks</t>
  </si>
  <si>
    <t>&lt;2</t>
  </si>
  <si>
    <t>🟡 Progressing</t>
  </si>
  <si>
    <t>Regulatory Compliance</t>
  </si>
  <si>
    <t>🔴 Below target</t>
  </si>
  <si>
    <r>
      <t>Overall Programme Risk Rating: HIGH</t>
    </r>
    <r>
      <rPr>
        <sz val="10"/>
        <rFont val="Arial"/>
        <family val="2"/>
      </rPr>
      <t xml:space="preserve"> </t>
    </r>
    <r>
      <rPr>
        <i/>
        <sz val="10"/>
        <rFont val="Arial"/>
        <family val="2"/>
      </rPr>
      <t>Requires immediate senior management attention and intervention</t>
    </r>
  </si>
  <si>
    <t>COMPREHENSIVE KPI-KRI ANALYSIS TABLE</t>
  </si>
  <si>
    <t>Programme Objective</t>
  </si>
  <si>
    <t>KPI Target</t>
  </si>
  <si>
    <t>KPI Current</t>
  </si>
  <si>
    <t>KRI Score (Initial→Current)</t>
  </si>
  <si>
    <t>KRI Target Score</t>
  </si>
  <si>
    <t>KRI Status</t>
  </si>
  <si>
    <t>Comparative Analysis</t>
  </si>
  <si>
    <t>Conclusion &amp; Action Required</t>
  </si>
  <si>
    <t>Deliver all projects on time and within budget</t>
  </si>
  <si>
    <t>Programme Delivery Success Rate</t>
  </si>
  <si>
    <t>[TO BE CALCULATED]</t>
  </si>
  <si>
    <t>Void Property Risk Exposure</t>
  </si>
  <si>
    <t>20→12 (40% reduction)</t>
  </si>
  <si>
    <t>&lt;6</t>
  </si>
  <si>
    <t>🔴 RED</t>
  </si>
  <si>
    <t>12→3 (75% reduction)</t>
  </si>
  <si>
    <t>&lt;3</t>
  </si>
  <si>
    <t>🟢 GREEN</t>
  </si>
  <si>
    <t>Minimize financial exposure and protect programme viability</t>
  </si>
  <si>
    <t>&lt;2% of programme value</t>
  </si>
  <si>
    <t>5% (£25M)</t>
  </si>
  <si>
    <t>Void Property Risk</t>
  </si>
  <si>
    <t>20→12 (£25M→£12.5M)</t>
  </si>
  <si>
    <t>&lt;6 (&lt;£5M)</t>
  </si>
  <si>
    <t>PCR 2015 Compliance Risk</t>
  </si>
  <si>
    <t>8→4 (50% reduction)</t>
  </si>
  <si>
    <t>🟡 AMBER</t>
  </si>
  <si>
    <t>Achieve zero preventable safety incidents</t>
  </si>
  <si>
    <t>Safety Performance Index</t>
  </si>
  <si>
    <t>&lt;1.0 (industry benchmark)</t>
  </si>
  <si>
    <t>15→12 (20% reduction)</t>
  </si>
  <si>
    <t>Safety Compliance Score</t>
  </si>
  <si>
    <t>Not in original register</t>
  </si>
  <si>
    <t>94% (target &gt;95%)</t>
  </si>
  <si>
    <t>Maintain full regulatory compliance</t>
  </si>
  <si>
    <t>Baseline established</t>
  </si>
  <si>
    <t>Optimize resource utilization and retention</t>
  </si>
  <si>
    <t>Resource Efficiency Index</t>
  </si>
  <si>
    <t>&gt;85%</t>
  </si>
  <si>
    <t>Not scored in register</t>
  </si>
  <si>
    <t>Ensure accurate programme reporting and stakeholder confidence</t>
  </si>
  <si>
    <t>Stakeholder Satisfaction Score</t>
  </si>
  <si>
    <r>
      <t>Good baseline:</t>
    </r>
    <r>
      <rPr>
        <sz val="10"/>
        <rFont val="Arial"/>
        <family val="2"/>
      </rPr>
      <t xml:space="preserve"> Solid starting position but needs 5% improvement. Data re-filing exercise 75% complete. Pamwin implementation issues being resolved. Staff training showing results.</t>
    </r>
  </si>
  <si>
    <r>
      <t>Significant improvement:</t>
    </r>
    <r>
      <rPr>
        <sz val="11"/>
        <rFont val="Arial"/>
        <family val="2"/>
      </rPr>
      <t xml:space="preserve"> Risk reduced from Severe (20) to Major (12) through enhanced controls. However, still in critical zone with £12.5M annual exposure vs £25M initial estimate. Mitigation effectiveness: 40% reduction achieved.</t>
    </r>
  </si>
  <si>
    <r>
      <t>IMMEDIATE ACTION:</t>
    </r>
    <r>
      <rPr>
        <sz val="11"/>
        <rFont val="Arial"/>
        <family val="2"/>
      </rPr>
      <t xml:space="preserve"> Complete enhanced handover process implementation. Target: Reduce score 12→8 within 60 days. Risk remains programme's highest financial threat despite improvements.</t>
    </r>
  </si>
  <si>
    <r>
      <t>Excellent improvement:</t>
    </r>
    <r>
      <rPr>
        <sz val="11"/>
        <rFont val="Arial"/>
        <family val="2"/>
      </rPr>
      <t xml:space="preserve"> Major risk (12) reduced to Minor (3) - best performing risk across programme. Data validation exercises highly effective. Staff training on data consequences showing strong results. 75% risk reduction exceeds programme average.</t>
    </r>
  </si>
  <si>
    <r>
      <t>MAINTAIN:</t>
    </r>
    <r>
      <rPr>
        <sz val="11"/>
        <rFont val="Arial"/>
        <family val="2"/>
      </rPr>
      <t xml:space="preserve"> Continue data validation exercises. Monitor for any regression. Success model for other risk categories. Consider applying methodology to other data quality risks.</t>
    </r>
  </si>
  <si>
    <r>
      <t>Moderate improvement:</t>
    </r>
    <r>
      <rPr>
        <sz val="11"/>
        <rFont val="Arial"/>
        <family val="2"/>
      </rPr>
      <t xml:space="preserve"> 50% reduction in expected loss but still 2.5x above target. Void periods remain critical programme threat. Enhanced handover process partially effective but needs acceleration. Industry benchmark: &lt;1% void exposure.</t>
    </r>
  </si>
  <si>
    <r>
      <t>CRITICAL:</t>
    </r>
    <r>
      <rPr>
        <sz val="11"/>
        <rFont val="Arial"/>
        <family val="2"/>
      </rPr>
      <t xml:space="preserve"> Implement emergency handover protocols. Engage with Housing Allocations team urgently. Target: &lt;£5M exposure by Q3 2025. Consider external specialist support.</t>
    </r>
  </si>
  <si>
    <r>
      <t>Good improvement:</t>
    </r>
    <r>
      <rPr>
        <sz val="11"/>
        <rFont val="Arial"/>
        <family val="2"/>
      </rPr>
      <t xml:space="preserve"> Risk halved through PMO oversight and training programme. However, still above target with £10M penalty exposure. Training completion at 60%. Procurement cycle times averaging 45 days vs 35-day target.</t>
    </r>
  </si>
  <si>
    <r>
      <t>ACCELERATE:</t>
    </r>
    <r>
      <rPr>
        <sz val="11"/>
        <rFont val="Arial"/>
        <family val="2"/>
      </rPr>
      <t xml:space="preserve"> Complete remaining 40% of training programme within 30 days. Focus on high-risk procurement activities. Target score reduction 4→2 by Q3 2025.</t>
    </r>
  </si>
  <si>
    <r>
      <t>Limited improvement:</t>
    </r>
    <r>
      <rPr>
        <sz val="11"/>
        <rFont val="Arial"/>
        <family val="2"/>
      </rPr>
      <t xml:space="preserve"> Smallest reduction across all risks (20%). Enhanced measures on Aylesbury Estate helping but risk remains Major. 0.5 incidents/year projected vs zero target. Industry average: 0.8 incidents.</t>
    </r>
  </si>
  <si>
    <r>
      <t>URGENT:</t>
    </r>
    <r>
      <rPr>
        <sz val="11"/>
        <rFont val="Arial"/>
        <family val="2"/>
      </rPr>
      <t xml:space="preserve"> Review all lone working protocols immediately. Implement buddy system on high-risk sites. Target: Score reduction 12→8 within 30 days. Zero tolerance approach required.</t>
    </r>
  </si>
  <si>
    <r>
      <t>New monitoring:</t>
    </r>
    <r>
      <rPr>
        <sz val="11"/>
        <rFont val="Arial"/>
        <family val="2"/>
      </rPr>
      <t xml:space="preserve"> Recently introduced KRI showing good baseline performance at 94%. Slightly below 95% target but trending positive. Weekly audit programme showing consistent results.</t>
    </r>
  </si>
  <si>
    <r>
      <t>FOCUS:</t>
    </r>
    <r>
      <rPr>
        <sz val="11"/>
        <rFont val="Arial"/>
        <family val="2"/>
      </rPr>
      <t xml:space="preserve"> Push compliance above 95% threshold. Identify specific gap areas in audits. Implement corrective actions for non-compliant sites.</t>
    </r>
  </si>
  <si>
    <r>
      <t>Steady improvement:</t>
    </r>
    <r>
      <rPr>
        <sz val="11"/>
        <rFont val="Arial"/>
        <family val="2"/>
      </rPr>
      <t xml:space="preserve"> Consistent with procurement risk trend. PMO oversight proving effective. Training programme 60% complete. Regulatory sanctions avoided to date but risk remains elevated.</t>
    </r>
  </si>
  <si>
    <r>
      <t>SUSTAIN:</t>
    </r>
    <r>
      <rPr>
        <sz val="11"/>
        <rFont val="Arial"/>
        <family val="2"/>
      </rPr>
      <t xml:space="preserve"> Complete training rollout. Establish monthly compliance reviews. Target: 100% compliance rate by Q4 2025.</t>
    </r>
  </si>
  <si>
    <r>
      <t>New baseline:</t>
    </r>
    <r>
      <rPr>
        <sz val="11"/>
        <rFont val="Arial"/>
        <family val="2"/>
      </rPr>
      <t xml:space="preserve"> Strong starting position at 94%. Weekly audit frequency appropriate. Need 1% improvement to reach green status. Correlates with lone working risk management efforts.</t>
    </r>
  </si>
  <si>
    <r>
      <t>Strong improvement:</t>
    </r>
    <r>
      <rPr>
        <sz val="11"/>
        <rFont val="Arial"/>
        <family val="2"/>
      </rPr>
      <t xml:space="preserve"> Risk halved through comprehensive retention strategy. New onboarding, development opportunities, work-life balance initiatives working. Staff turnover reduced. One of better performing risk areas.</t>
    </r>
  </si>
  <si>
    <r>
      <t>SUSTAIN:</t>
    </r>
    <r>
      <rPr>
        <sz val="11"/>
        <rFont val="Arial"/>
        <family val="2"/>
      </rPr>
      <t xml:space="preserve"> Continue current retention initiatives. Monitor monthly through Resource meetings. Target: Achieve &lt;3 score by Q4 2025. Consider expanding successful initiatives.</t>
    </r>
  </si>
  <si>
    <r>
      <t>Ongoing concern:</t>
    </r>
    <r>
      <rPr>
        <sz val="11"/>
        <rFont val="Arial"/>
        <family val="2"/>
      </rPr>
      <t xml:space="preserve"> Resource pressures creating £10M potential programme impact. Recruitment campaigns active but tight labor market challenging. Resource meetings helping coordinate allocation.</t>
    </r>
  </si>
  <si>
    <r>
      <t>Exemplary improvement:</t>
    </r>
    <r>
      <rPr>
        <sz val="11"/>
        <rFont val="Arial"/>
        <family val="2"/>
      </rPr>
      <t xml:space="preserve"> Best performing risk with 75% reduction. Data validation exercises highly effective. Staff fully engaged with data quality importance. Supporting accurate stakeholder reporting.</t>
    </r>
  </si>
  <si>
    <r>
      <t>MAINTAIN:</t>
    </r>
    <r>
      <rPr>
        <sz val="11"/>
        <rFont val="Arial"/>
        <family val="2"/>
      </rPr>
      <t xml:space="preserve"> Continue monthly data validation. Consider expanding methodology to other programmes. Success story for stakeholder confidence building.</t>
    </r>
  </si>
  <si>
    <t>94%&gt;95%</t>
  </si>
  <si>
    <t>85%&gt;90%</t>
  </si>
  <si>
    <t>£10M impact
(&lt;£5M)</t>
  </si>
  <si>
    <t>EXAMPLE - Current Risk Status (as of June 10, 2025, 16:45 GMT)</t>
  </si>
  <si>
    <r>
      <t xml:space="preserve">🟡 </t>
    </r>
    <r>
      <rPr>
        <b/>
        <sz val="11"/>
        <rFont val="Arial"/>
        <family val="2"/>
      </rPr>
      <t>Watch</t>
    </r>
  </si>
  <si>
    <r>
      <t xml:space="preserve">🔴 </t>
    </r>
    <r>
      <rPr>
        <b/>
        <sz val="11"/>
        <rFont val="Arial"/>
        <family val="2"/>
      </rPr>
      <t>Critical</t>
    </r>
  </si>
  <si>
    <r>
      <t xml:space="preserve">🟢 </t>
    </r>
    <r>
      <rPr>
        <b/>
        <sz val="11"/>
        <rFont val="Arial"/>
        <family val="2"/>
      </rPr>
      <t>On Track</t>
    </r>
  </si>
  <si>
    <r>
      <t xml:space="preserve">🟡 </t>
    </r>
    <r>
      <rPr>
        <b/>
        <sz val="11"/>
        <rFont val="Arial"/>
        <family val="2"/>
      </rPr>
      <t>Review</t>
    </r>
  </si>
  <si>
    <t>KPI Formula</t>
  </si>
  <si>
    <t>Related KRI</t>
  </si>
  <si>
    <t>KRI Formula</t>
  </si>
  <si>
    <t>Business Justification</t>
  </si>
  <si>
    <t>Escalation Trigger</t>
  </si>
  <si>
    <t>Deliver all projects on time and within approved budgets</t>
  </si>
  <si>
    <t>((Projects On Time ÷ Total Projects) × 50%) + ((Projects On Budget ÷ Total Projects) × 50%)</t>
  </si>
  <si>
    <t>Budget Variance Rate</t>
  </si>
  <si>
    <t>((Actual Costs - Approved Budget) ÷ Approved Budget) × 100%</t>
  </si>
  <si>
    <t>&lt;5% variance</t>
  </si>
  <si>
    <t>Allow controlled variance for quality delivery and innovation</t>
  </si>
  <si>
    <t>&gt;3% variance</t>
  </si>
  <si>
    <t>Earned Value ÷ Planned Value (across all projects)</t>
  </si>
  <si>
    <t>&gt;0.98</t>
  </si>
  <si>
    <t>Accept reasonable delays for quality outcomes</t>
  </si>
  <si>
    <t>&lt;0.95 SPI</t>
  </si>
  <si>
    <t>(Void Properties Cost Impact ÷ Total Programme Value) × 100%</t>
  </si>
  <si>
    <t>Minimize rental income loss and deterioration costs</t>
  </si>
  <si>
    <t>&gt;2% exposure</t>
  </si>
  <si>
    <t>Protect public funds and ensure financial sustainability</t>
  </si>
  <si>
    <t>(Total Expected Annual Loss ÷ Total Programme Value) × 100%</t>
  </si>
  <si>
    <t>Total Expected Loss</t>
  </si>
  <si>
    <t>Sum of (Risk Impact × Probability × Financial Consequence) for all active risks</t>
  </si>
  <si>
    <t>Essential for HRA viability and public accountability</t>
  </si>
  <si>
    <t>Earned Value ÷ Actual Costs (across all projects)</t>
  </si>
  <si>
    <t>Cash Flow Risk Indicator</t>
  </si>
  <si>
    <t>Months of Available Cash ÷ Monthly Committed Expenditure</t>
  </si>
  <si>
    <t>Conservative</t>
  </si>
  <si>
    <t>3.2 months</t>
  </si>
  <si>
    <t>Ensure financial stability and payment capability</t>
  </si>
  <si>
    <t>&lt;3 months visibility</t>
  </si>
  <si>
    <t>(Programme Accident Frequency Rate ÷ Industry Benchmark Rate)</t>
  </si>
  <si>
    <t>Accident Frequency Rate</t>
  </si>
  <si>
    <t>(Number of RIDDOR Accidents × 100,000) ÷ Total Hours Worked</t>
  </si>
  <si>
    <t>Zero</t>
  </si>
  <si>
    <t>Staff and public safety is non-negotiable</t>
  </si>
  <si>
    <t>Any preventable incident</t>
  </si>
  <si>
    <t>Impact Score × Likelihood Score (from risk register)</t>
  </si>
  <si>
    <t>Protect staff welfare and prevent injuries</t>
  </si>
  <si>
    <t>Score &gt;6</t>
  </si>
  <si>
    <t>(Safety Audits Passed ÷ Total Safety Audits) × 100%</t>
  </si>
  <si>
    <t>Full regulatory compliance required</t>
  </si>
  <si>
    <t>&lt;95% compliance</t>
  </si>
  <si>
    <t>Maintain full regulatory and legal compliance</t>
  </si>
  <si>
    <t>(Compliant Activities ÷ Total Regulatory Activities) × 100%</t>
  </si>
  <si>
    <t>Protect against legal challenge and penalties</t>
  </si>
  <si>
    <t>Score &gt;4</t>
  </si>
  <si>
    <t>GLA Approval Processing Time</t>
  </si>
  <si>
    <t>Sum of (Approval Days) ÷ Number of Approvals</t>
  </si>
  <si>
    <t>28 days</t>
  </si>
  <si>
    <t>Maintain program delivery momentum</t>
  </si>
  <si>
    <t>&gt;21 days average</t>
  </si>
  <si>
    <t>Compliance Breach Count</t>
  </si>
  <si>
    <t>Number of Regulatory Non-compliance Incidents per Quarter</t>
  </si>
  <si>
    <t>Regulatory</t>
  </si>
  <si>
    <t>1 current</t>
  </si>
  <si>
    <t>Protect licenses and operating permissions</t>
  </si>
  <si>
    <t>&gt;1 per quarter</t>
  </si>
  <si>
    <t>Optimize resource utilization and capability</t>
  </si>
  <si>
    <t>(Actual Resource Hours ÷ Planned Resource Hours) × 100%</t>
  </si>
  <si>
    <t>Resource Utilization Rate</t>
  </si>
  <si>
    <t>(Billable Hours ÷ Available Hours) × 100%</t>
  </si>
  <si>
    <t>Balance efficiency with staff wellbeing</t>
  </si>
  <si>
    <t>&lt;85% utilization</t>
  </si>
  <si>
    <t>Skill Gap Coverage</t>
  </si>
  <si>
    <t>((Total Required Skills - Unfilled Skills) ÷ Total Required Skills) × 100%</t>
  </si>
  <si>
    <t>&gt;95%</t>
  </si>
  <si>
    <t>Skills Gap Index</t>
  </si>
  <si>
    <t>(Critical Roles Unfilled or Underqualified ÷ Total Critical Roles) × 100%</t>
  </si>
  <si>
    <t>Ensure adequate delivery capability</t>
  </si>
  <si>
    <t>&gt;10% skills gap</t>
  </si>
  <si>
    <t>Maintain delivery capacity and expertise</t>
  </si>
  <si>
    <t>Ensure accurate reporting and stakeholder confidence</t>
  </si>
  <si>
    <t>((Resident Satisfaction × 40%) + (GLA Satisfaction × 30%) + (Contractor Satisfaction × 30%))</t>
  </si>
  <si>
    <t>Support effective decision-making</t>
  </si>
  <si>
    <t>(Accurate Data Points ÷ Total Data Points Reviewed) × 100%</t>
  </si>
  <si>
    <t>Information Quality Percentage</t>
  </si>
  <si>
    <t>(Data Validation Passes ÷ Total Data Validations) × 100%</t>
  </si>
  <si>
    <t>Ensure reliable program management</t>
  </si>
  <si>
    <t>&lt;95% accuracy</t>
  </si>
  <si>
    <t>Maintain strong supplier and contractor performance</t>
  </si>
  <si>
    <t>Contractor Performance Index</t>
  </si>
  <si>
    <t>((Delivery Score × 30%) + (Quality Score × 25%) + (Safety Score × 25%) + (Commercial Score × 20%))</t>
  </si>
  <si>
    <t>Contractor Performance Score</t>
  </si>
  <si>
    <t>Weighted Average of (Delivery + Quality + Safety + Commercial Performance)</t>
  </si>
  <si>
    <t>Ensure quality delivery and value for money</t>
  </si>
  <si>
    <t>&lt;90% performance</t>
  </si>
  <si>
    <t>Procurement Cycle Time</t>
  </si>
  <si>
    <t>(Sum of Days from Tender Issue to Contract Award) ÷ Number of Procurements</t>
  </si>
  <si>
    <t>45 days</t>
  </si>
  <si>
    <t>Maintain delivery momentum and competition</t>
  </si>
  <si>
    <t>&gt;35 days average</t>
  </si>
  <si>
    <t>Maximize value for money and cost efficiency</t>
  </si>
  <si>
    <t>Value Engineering Success Rate</t>
  </si>
  <si>
    <t>(Value Engineering Savings Achieved ÷ Value Engineering Opportunities Identified) × 100%</t>
  </si>
  <si>
    <t>&gt;75%</t>
  </si>
  <si>
    <t>Cost Inflation Risk Score</t>
  </si>
  <si>
    <t>🟡 TBD</t>
  </si>
  <si>
    <t>Optimize public fund utilization and cost control</t>
  </si>
  <si>
    <t>Market Rate Variance</t>
  </si>
  <si>
    <t>((Current Market Rates - Budgeted Rates) ÷ Budgeted Rates) × 100%</t>
  </si>
  <si>
    <t>Manage construction cost volatility</t>
  </si>
  <si>
    <t>&gt;5% variance</t>
  </si>
  <si>
    <t>Threshold Limits</t>
  </si>
  <si>
    <r>
      <t>Green:</t>
    </r>
    <r>
      <rPr>
        <sz val="10"/>
        <rFont val="Arial"/>
        <family val="2"/>
      </rPr>
      <t xml:space="preserve"> &lt;2% </t>
    </r>
    <r>
      <rPr>
        <b/>
        <sz val="10"/>
        <rFont val="Arial"/>
        <family val="2"/>
      </rPr>
      <t>Amber:</t>
    </r>
    <r>
      <rPr>
        <sz val="10"/>
        <rFont val="Arial"/>
        <family val="2"/>
      </rPr>
      <t xml:space="preserve"> 2-3% </t>
    </r>
    <r>
      <rPr>
        <b/>
        <sz val="10"/>
        <rFont val="Arial"/>
        <family val="2"/>
      </rPr>
      <t>Red:</t>
    </r>
    <r>
      <rPr>
        <sz val="10"/>
        <rFont val="Arial"/>
        <family val="2"/>
      </rPr>
      <t xml:space="preserve"> &gt;3%</t>
    </r>
  </si>
  <si>
    <r>
      <t>Green:</t>
    </r>
    <r>
      <rPr>
        <sz val="10"/>
        <rFont val="Arial"/>
        <family val="2"/>
      </rPr>
      <t xml:space="preserve"> &gt;0.98 </t>
    </r>
    <r>
      <rPr>
        <b/>
        <sz val="10"/>
        <rFont val="Arial"/>
        <family val="2"/>
      </rPr>
      <t>Amber:</t>
    </r>
    <r>
      <rPr>
        <sz val="10"/>
        <rFont val="Arial"/>
        <family val="2"/>
      </rPr>
      <t xml:space="preserve"> 0.95-0.98 </t>
    </r>
    <r>
      <rPr>
        <b/>
        <sz val="10"/>
        <rFont val="Arial"/>
        <family val="2"/>
      </rPr>
      <t>Red:</t>
    </r>
    <r>
      <rPr>
        <sz val="10"/>
        <rFont val="Arial"/>
        <family val="2"/>
      </rPr>
      <t xml:space="preserve"> &lt;0.95</t>
    </r>
  </si>
  <si>
    <r>
      <t>Green:</t>
    </r>
    <r>
      <rPr>
        <sz val="10"/>
        <rFont val="Arial"/>
        <family val="2"/>
      </rPr>
      <t xml:space="preserve"> &lt;1% </t>
    </r>
    <r>
      <rPr>
        <b/>
        <sz val="10"/>
        <rFont val="Arial"/>
        <family val="2"/>
      </rPr>
      <t>Amber:</t>
    </r>
    <r>
      <rPr>
        <sz val="10"/>
        <rFont val="Arial"/>
        <family val="2"/>
      </rPr>
      <t xml:space="preserve"> 1-2% </t>
    </r>
    <r>
      <rPr>
        <b/>
        <sz val="10"/>
        <rFont val="Arial"/>
        <family val="2"/>
      </rPr>
      <t>Red:</t>
    </r>
    <r>
      <rPr>
        <sz val="10"/>
        <rFont val="Arial"/>
        <family val="2"/>
      </rPr>
      <t xml:space="preserve"> &gt;2%</t>
    </r>
  </si>
  <si>
    <t>&gt;3% ratio</t>
  </si>
  <si>
    <r>
      <t>Green:</t>
    </r>
    <r>
      <rPr>
        <sz val="10"/>
        <rFont val="Arial"/>
        <family val="2"/>
      </rPr>
      <t xml:space="preserve"> &gt;6 months </t>
    </r>
    <r>
      <rPr>
        <b/>
        <sz val="10"/>
        <rFont val="Arial"/>
        <family val="2"/>
      </rPr>
      <t>Amber:</t>
    </r>
    <r>
      <rPr>
        <sz val="10"/>
        <rFont val="Arial"/>
        <family val="2"/>
      </rPr>
      <t xml:space="preserve"> 3-6 months </t>
    </r>
    <r>
      <rPr>
        <b/>
        <sz val="10"/>
        <rFont val="Arial"/>
        <family val="2"/>
      </rPr>
      <t>Red:</t>
    </r>
    <r>
      <rPr>
        <sz val="10"/>
        <rFont val="Arial"/>
        <family val="2"/>
      </rPr>
      <t xml:space="preserve"> &lt;3 months</t>
    </r>
  </si>
  <si>
    <r>
      <t>Green:</t>
    </r>
    <r>
      <rPr>
        <sz val="10"/>
        <rFont val="Arial"/>
        <family val="2"/>
      </rPr>
      <t xml:space="preserve"> 0 </t>
    </r>
    <r>
      <rPr>
        <b/>
        <sz val="10"/>
        <rFont val="Arial"/>
        <family val="2"/>
      </rPr>
      <t>Amber:</t>
    </r>
    <r>
      <rPr>
        <sz val="10"/>
        <rFont val="Arial"/>
        <family val="2"/>
      </rPr>
      <t xml:space="preserve"> 0.1-0.5 </t>
    </r>
    <r>
      <rPr>
        <b/>
        <sz val="10"/>
        <rFont val="Arial"/>
        <family val="2"/>
      </rPr>
      <t>Red:</t>
    </r>
    <r>
      <rPr>
        <sz val="10"/>
        <rFont val="Arial"/>
        <family val="2"/>
      </rPr>
      <t xml:space="preserve"> &gt;0.5</t>
    </r>
  </si>
  <si>
    <r>
      <t>Green:</t>
    </r>
    <r>
      <rPr>
        <sz val="10"/>
        <rFont val="Arial"/>
        <family val="2"/>
      </rPr>
      <t xml:space="preserve"> &lt;3 </t>
    </r>
    <r>
      <rPr>
        <b/>
        <sz val="10"/>
        <rFont val="Arial"/>
        <family val="2"/>
      </rPr>
      <t>Amber:</t>
    </r>
    <r>
      <rPr>
        <sz val="10"/>
        <rFont val="Arial"/>
        <family val="2"/>
      </rPr>
      <t xml:space="preserve"> 3-6 </t>
    </r>
    <r>
      <rPr>
        <b/>
        <sz val="10"/>
        <rFont val="Arial"/>
        <family val="2"/>
      </rPr>
      <t>Red:</t>
    </r>
    <r>
      <rPr>
        <sz val="10"/>
        <rFont val="Arial"/>
        <family val="2"/>
      </rPr>
      <t xml:space="preserve"> &gt;6</t>
    </r>
  </si>
  <si>
    <r>
      <t>Green:</t>
    </r>
    <r>
      <rPr>
        <sz val="10"/>
        <rFont val="Arial"/>
        <family val="2"/>
      </rPr>
      <t xml:space="preserve"> 100% </t>
    </r>
    <r>
      <rPr>
        <b/>
        <sz val="10"/>
        <rFont val="Arial"/>
        <family val="2"/>
      </rPr>
      <t>Amber:</t>
    </r>
    <r>
      <rPr>
        <sz val="10"/>
        <rFont val="Arial"/>
        <family val="2"/>
      </rPr>
      <t xml:space="preserve"> 95-99% </t>
    </r>
    <r>
      <rPr>
        <b/>
        <sz val="10"/>
        <rFont val="Arial"/>
        <family val="2"/>
      </rPr>
      <t>Red:</t>
    </r>
    <r>
      <rPr>
        <sz val="10"/>
        <rFont val="Arial"/>
        <family val="2"/>
      </rPr>
      <t xml:space="preserve"> &lt;95%</t>
    </r>
  </si>
  <si>
    <r>
      <t>Green:</t>
    </r>
    <r>
      <rPr>
        <sz val="10"/>
        <rFont val="Arial"/>
        <family val="2"/>
      </rPr>
      <t xml:space="preserve"> &lt;2 </t>
    </r>
    <r>
      <rPr>
        <b/>
        <sz val="10"/>
        <rFont val="Arial"/>
        <family val="2"/>
      </rPr>
      <t>Amber:</t>
    </r>
    <r>
      <rPr>
        <sz val="10"/>
        <rFont val="Arial"/>
        <family val="2"/>
      </rPr>
      <t xml:space="preserve"> 2-4 </t>
    </r>
    <r>
      <rPr>
        <b/>
        <sz val="10"/>
        <rFont val="Arial"/>
        <family val="2"/>
      </rPr>
      <t>Red:</t>
    </r>
    <r>
      <rPr>
        <sz val="10"/>
        <rFont val="Arial"/>
        <family val="2"/>
      </rPr>
      <t xml:space="preserve"> &gt;4</t>
    </r>
  </si>
  <si>
    <r>
      <t>Green:</t>
    </r>
    <r>
      <rPr>
        <sz val="10"/>
        <rFont val="Arial"/>
        <family val="2"/>
      </rPr>
      <t xml:space="preserve"> &lt;14 days </t>
    </r>
    <r>
      <rPr>
        <b/>
        <sz val="10"/>
        <rFont val="Arial"/>
        <family val="2"/>
      </rPr>
      <t>Amber:</t>
    </r>
    <r>
      <rPr>
        <sz val="10"/>
        <rFont val="Arial"/>
        <family val="2"/>
      </rPr>
      <t xml:space="preserve"> 14-21 days </t>
    </r>
    <r>
      <rPr>
        <b/>
        <sz val="10"/>
        <rFont val="Arial"/>
        <family val="2"/>
      </rPr>
      <t>Red:</t>
    </r>
    <r>
      <rPr>
        <sz val="10"/>
        <rFont val="Arial"/>
        <family val="2"/>
      </rPr>
      <t xml:space="preserve"> &gt;21 days</t>
    </r>
  </si>
  <si>
    <r>
      <t>Green:</t>
    </r>
    <r>
      <rPr>
        <sz val="10"/>
        <rFont val="Arial"/>
        <family val="2"/>
      </rPr>
      <t xml:space="preserve"> 0 </t>
    </r>
    <r>
      <rPr>
        <b/>
        <sz val="10"/>
        <rFont val="Arial"/>
        <family val="2"/>
      </rPr>
      <t>Amber:</t>
    </r>
    <r>
      <rPr>
        <sz val="10"/>
        <rFont val="Arial"/>
        <family val="2"/>
      </rPr>
      <t xml:space="preserve"> 1 </t>
    </r>
    <r>
      <rPr>
        <b/>
        <sz val="10"/>
        <rFont val="Arial"/>
        <family val="2"/>
      </rPr>
      <t>Red:</t>
    </r>
    <r>
      <rPr>
        <sz val="10"/>
        <rFont val="Arial"/>
        <family val="2"/>
      </rPr>
      <t xml:space="preserve"> &gt;1</t>
    </r>
  </si>
  <si>
    <r>
      <t>Green:</t>
    </r>
    <r>
      <rPr>
        <sz val="10"/>
        <rFont val="Arial"/>
        <family val="2"/>
      </rPr>
      <t xml:space="preserve"> &gt;90% </t>
    </r>
    <r>
      <rPr>
        <b/>
        <sz val="10"/>
        <rFont val="Arial"/>
        <family val="2"/>
      </rPr>
      <t>Amber:</t>
    </r>
    <r>
      <rPr>
        <sz val="10"/>
        <rFont val="Arial"/>
        <family val="2"/>
      </rPr>
      <t xml:space="preserve"> 85-90% </t>
    </r>
    <r>
      <rPr>
        <b/>
        <sz val="10"/>
        <rFont val="Arial"/>
        <family val="2"/>
      </rPr>
      <t>Red:</t>
    </r>
    <r>
      <rPr>
        <sz val="10"/>
        <rFont val="Arial"/>
        <family val="2"/>
      </rPr>
      <t xml:space="preserve"> &lt;85%</t>
    </r>
  </si>
  <si>
    <r>
      <t>Green:</t>
    </r>
    <r>
      <rPr>
        <sz val="10"/>
        <rFont val="Arial"/>
        <family val="2"/>
      </rPr>
      <t xml:space="preserve"> &lt;5% </t>
    </r>
    <r>
      <rPr>
        <b/>
        <sz val="10"/>
        <rFont val="Arial"/>
        <family val="2"/>
      </rPr>
      <t>Amber:</t>
    </r>
    <r>
      <rPr>
        <sz val="10"/>
        <rFont val="Arial"/>
        <family val="2"/>
      </rPr>
      <t xml:space="preserve"> 5-10% </t>
    </r>
    <r>
      <rPr>
        <b/>
        <sz val="10"/>
        <rFont val="Arial"/>
        <family val="2"/>
      </rPr>
      <t>Red:</t>
    </r>
    <r>
      <rPr>
        <sz val="10"/>
        <rFont val="Arial"/>
        <family val="2"/>
      </rPr>
      <t xml:space="preserve"> &gt;10%</t>
    </r>
  </si>
  <si>
    <r>
      <t>Green:</t>
    </r>
    <r>
      <rPr>
        <sz val="10"/>
        <rFont val="Arial"/>
        <family val="2"/>
      </rPr>
      <t xml:space="preserve"> &gt;98% </t>
    </r>
    <r>
      <rPr>
        <b/>
        <sz val="10"/>
        <rFont val="Arial"/>
        <family val="2"/>
      </rPr>
      <t>Amber:</t>
    </r>
    <r>
      <rPr>
        <sz val="10"/>
        <rFont val="Arial"/>
        <family val="2"/>
      </rPr>
      <t xml:space="preserve"> 95-98% </t>
    </r>
    <r>
      <rPr>
        <b/>
        <sz val="10"/>
        <rFont val="Arial"/>
        <family val="2"/>
      </rPr>
      <t>Red:</t>
    </r>
    <r>
      <rPr>
        <sz val="10"/>
        <rFont val="Arial"/>
        <family val="2"/>
      </rPr>
      <t xml:space="preserve"> &lt;95%</t>
    </r>
  </si>
  <si>
    <r>
      <t>Green:</t>
    </r>
    <r>
      <rPr>
        <sz val="10"/>
        <rFont val="Arial"/>
        <family val="2"/>
      </rPr>
      <t xml:space="preserve"> &gt;95% </t>
    </r>
    <r>
      <rPr>
        <b/>
        <sz val="10"/>
        <rFont val="Arial"/>
        <family val="2"/>
      </rPr>
      <t>Amber:</t>
    </r>
    <r>
      <rPr>
        <sz val="10"/>
        <rFont val="Arial"/>
        <family val="2"/>
      </rPr>
      <t xml:space="preserve"> 90-95% </t>
    </r>
    <r>
      <rPr>
        <b/>
        <sz val="10"/>
        <rFont val="Arial"/>
        <family val="2"/>
      </rPr>
      <t>Red:</t>
    </r>
    <r>
      <rPr>
        <sz val="10"/>
        <rFont val="Arial"/>
        <family val="2"/>
      </rPr>
      <t xml:space="preserve"> &lt;90%</t>
    </r>
  </si>
  <si>
    <r>
      <t>Green:</t>
    </r>
    <r>
      <rPr>
        <sz val="10"/>
        <rFont val="Arial"/>
        <family val="2"/>
      </rPr>
      <t xml:space="preserve"> &lt;28 days </t>
    </r>
    <r>
      <rPr>
        <b/>
        <sz val="10"/>
        <rFont val="Arial"/>
        <family val="2"/>
      </rPr>
      <t>Amber:</t>
    </r>
    <r>
      <rPr>
        <sz val="10"/>
        <rFont val="Arial"/>
        <family val="2"/>
      </rPr>
      <t xml:space="preserve"> 28-35 days </t>
    </r>
    <r>
      <rPr>
        <b/>
        <sz val="10"/>
        <rFont val="Arial"/>
        <family val="2"/>
      </rPr>
      <t>Red:</t>
    </r>
    <r>
      <rPr>
        <sz val="10"/>
        <rFont val="Arial"/>
        <family val="2"/>
      </rPr>
      <t xml:space="preserve"> &gt;35 days</t>
    </r>
  </si>
  <si>
    <r>
      <t>Green:</t>
    </r>
    <r>
      <rPr>
        <sz val="10"/>
        <rFont val="Arial"/>
        <family val="2"/>
      </rPr>
      <t xml:space="preserve"> &lt;3% </t>
    </r>
    <r>
      <rPr>
        <b/>
        <sz val="10"/>
        <rFont val="Arial"/>
        <family val="2"/>
      </rPr>
      <t>Amber:</t>
    </r>
    <r>
      <rPr>
        <sz val="10"/>
        <rFont val="Arial"/>
        <family val="2"/>
      </rPr>
      <t xml:space="preserve"> 3-5% </t>
    </r>
    <r>
      <rPr>
        <b/>
        <sz val="10"/>
        <rFont val="Arial"/>
        <family val="2"/>
      </rPr>
      <t>Red:</t>
    </r>
    <r>
      <rPr>
        <sz val="10"/>
        <rFont val="Arial"/>
        <family val="2"/>
      </rPr>
      <t xml:space="preserve"> &gt;5%</t>
    </r>
  </si>
  <si>
    <t>Ensure social value and community benefit</t>
  </si>
  <si>
    <t>Social Value Delivery Rate</t>
  </si>
  <si>
    <t>(Social Value Commitments Delivered ÷ Total Social Value Commitments) × 100%</t>
  </si>
  <si>
    <t>Social Value Compliance Score</t>
  </si>
  <si>
    <t>(Social Value Requirements Met ÷ Total Social Value Requirements) × 100%</t>
  </si>
  <si>
    <t>Social Value</t>
  </si>
  <si>
    <t>Meet community commitments and Council priorities</t>
  </si>
  <si>
    <t>&lt;90% compliance</t>
  </si>
  <si>
    <t>Community Engagement Risk Score</t>
  </si>
  <si>
    <t>Protect community relations and programme support</t>
  </si>
  <si>
    <t>Monitor programme forecast accuracy and delivery confidence</t>
  </si>
  <si>
    <t>Monthly Forecast Movement Summary</t>
  </si>
  <si>
    <t>((Current Month Forecast - Previous Month Forecast) ÷ Previous Month Forecast) × 100%</t>
  </si>
  <si>
    <t>&lt;5% monthly variance</t>
  </si>
  <si>
    <t>Forecast Volatility Index</t>
  </si>
  <si>
    <t>Standard Deviation of Monthly Forecast Changes over 12 months</t>
  </si>
  <si>
    <t>Ensure predictable delivery and stakeholder confidence</t>
  </si>
  <si>
    <t>&gt;5% monthly variance</t>
  </si>
  <si>
    <t>Planning Accuracy Score</t>
  </si>
  <si>
    <t>(Actual Delivery ÷ Forecasted Delivery) × 100%</t>
  </si>
  <si>
    <r>
      <t>Green:</t>
    </r>
    <r>
      <rPr>
        <sz val="10"/>
        <rFont val="Arial"/>
        <family val="2"/>
      </rPr>
      <t xml:space="preserve"> 95-105% </t>
    </r>
    <r>
      <rPr>
        <b/>
        <sz val="10"/>
        <rFont val="Arial"/>
        <family val="2"/>
      </rPr>
      <t>Amber:</t>
    </r>
    <r>
      <rPr>
        <sz val="10"/>
        <rFont val="Arial"/>
        <family val="2"/>
      </rPr>
      <t xml:space="preserve"> 90-95% or 105-110% </t>
    </r>
    <r>
      <rPr>
        <b/>
        <sz val="10"/>
        <rFont val="Arial"/>
        <family val="2"/>
      </rPr>
      <t>Red:</t>
    </r>
    <r>
      <rPr>
        <sz val="10"/>
        <rFont val="Arial"/>
        <family val="2"/>
      </rPr>
      <t xml:space="preserve"> &lt;90% or &gt;110%</t>
    </r>
  </si>
  <si>
    <t>Maintain credible programme planning and reporting</t>
  </si>
  <si>
    <t>Outside 90-110% range</t>
  </si>
  <si>
    <t>Review Frequency</t>
  </si>
  <si>
    <t>Monthly</t>
  </si>
  <si>
    <t>Daily</t>
  </si>
  <si>
    <t>Weekly</t>
  </si>
  <si>
    <t>Consolidated Programme Objectives, KPIs, KRIs &amp; Risk Appetite Framework</t>
  </si>
  <si>
    <t>&lt;2%</t>
  </si>
  <si>
    <t>&lt;0.5</t>
  </si>
  <si>
    <t>Southwark Construction Programme - Board-Approved Risk Appetite Framework</t>
  </si>
  <si>
    <t>Overall Risk Appetite Declaration</t>
  </si>
  <si>
    <t>Risk Philosophy &amp; Core Principles</t>
  </si>
  <si>
    <r>
      <t>Sustainable Delivery:</t>
    </r>
    <r>
      <rPr>
        <sz val="10"/>
        <rFont val="Arial"/>
        <family val="2"/>
      </rPr>
      <t xml:space="preserve"> Risk-taking must support long-term programme objectives and value for money</t>
    </r>
  </si>
  <si>
    <r>
      <t>13. GLA Processing (28 days)</t>
    </r>
    <r>
      <rPr>
        <sz val="10"/>
        <rFont val="Arial"/>
        <family val="2"/>
      </rPr>
      <t xml:space="preserve"> - Double target time, approval bottleneck</t>
    </r>
  </si>
  <si>
    <t>Conclusion</t>
  </si>
  <si>
    <t>Percentage Risk (Void Property Risk Exposure)</t>
  </si>
  <si>
    <t>Percentage Risk (Budget Variance Rate)</t>
  </si>
  <si>
    <t>Finance Director</t>
  </si>
  <si>
    <t>Percentage Risk (Expected Annual Loss Ratio)</t>
  </si>
  <si>
    <t>Time Risk (Cash Flow Risk Indicator)</t>
  </si>
  <si>
    <t>Score Risk (Cost Inflation Risk Score)</t>
  </si>
  <si>
    <t>Percentage Risk (Market Rate Variance)</t>
  </si>
  <si>
    <t>Rate Risk (Accident Frequency Rate)</t>
  </si>
  <si>
    <t>0.8 per 100k hours</t>
  </si>
  <si>
    <t>H&amp;S Manager</t>
  </si>
  <si>
    <t>Score Risk (Lone Working Risk Score)</t>
  </si>
  <si>
    <t>Percentage Risk (Safety Compliance Score)</t>
  </si>
  <si>
    <t>Score Risk (PCR 2015 Risk Score)</t>
  </si>
  <si>
    <t>Percentage Risk (Contractor Performance Score)</t>
  </si>
  <si>
    <t>Procurement Manager</t>
  </si>
  <si>
    <t>Time Risk (Procurement Cycle Time)</t>
  </si>
  <si>
    <t>Index Risk (Schedule Performance Index)</t>
  </si>
  <si>
    <t>Programme Director</t>
  </si>
  <si>
    <t>Score Risk (Data Integrity Risk Score)</t>
  </si>
  <si>
    <t>Percentage Risk (Information Quality Percentage)</t>
  </si>
  <si>
    <t>Percentage Risk (Forecast Volatility Index)</t>
  </si>
  <si>
    <t>Percentage Risk (Planning Accuracy Score)</t>
  </si>
  <si>
    <t>Percentage Risk (Resource Utilization Rate)</t>
  </si>
  <si>
    <t>Resource Manager</t>
  </si>
  <si>
    <t>Percentage Risk (Skills Gap Index)</t>
  </si>
  <si>
    <t>Score Risk (Recruitment Risk Score)</t>
  </si>
  <si>
    <t>Time Risk (GLA Approval Processing Time)</t>
  </si>
  <si>
    <t>Count Risk (Compliance Breach Count)</t>
  </si>
  <si>
    <t>Percentage Risk (Social Value Compliance Score)</t>
  </si>
  <si>
    <t>Score Risk (Community Engagement Risk Score)</t>
  </si>
  <si>
    <t>2% exposure</t>
  </si>
  <si>
    <t>3% variance</t>
  </si>
  <si>
    <t>3% ratio</t>
  </si>
  <si>
    <t>5% variance</t>
  </si>
  <si>
    <t>35 days average</t>
  </si>
  <si>
    <t>5% monthly variance</t>
  </si>
  <si>
    <t>10% skills gap</t>
  </si>
  <si>
    <t>21 days average</t>
  </si>
  <si>
    <t>1 per quarter</t>
  </si>
  <si>
    <t>KRI Current Value</t>
  </si>
  <si>
    <t>What KRI Breach Means for KPI</t>
  </si>
  <si>
    <t>Impact Assessment</t>
  </si>
  <si>
    <t>KPI Predicted Performance</t>
  </si>
  <si>
    <t>Deliver projects on time &amp; budget</t>
  </si>
  <si>
    <t>Budget component underperforming - projects 2.1% over budget reduces 50% budget weighting in success calculation</t>
  </si>
  <si>
    <t>MODERATE RISK</t>
  </si>
  <si>
    <t>Will reduce delivery success rate by 1-2 percentage points</t>
  </si>
  <si>
    <t>KPI at risk - combined with schedule issues will miss 90% target</t>
  </si>
  <si>
    <t>Schedule component underperforming - only 95% of planned value delivered indicates 5% schedule slippage</t>
  </si>
  <si>
    <t>Will reduce delivery success rate by 2-3 percentage points</t>
  </si>
  <si>
    <t>KPI at risk - combined with budget issues will miss 90% target</t>
  </si>
  <si>
    <t>Rental income loss of 2.5% causes revenue loss and increased maintenance costs impacting project budgets</t>
  </si>
  <si>
    <t>CRITICAL RISK</t>
  </si>
  <si>
    <t>Represents £25M+ in lost revenue directly undermining budget performance</t>
  </si>
  <si>
    <t>KPI will fail - void properties create unsustainable financial drain</t>
  </si>
  <si>
    <t>Protect public funds</t>
  </si>
  <si>
    <t>Massive financial exposure - current losses are 150% above target representing £25M in expected losses</t>
  </si>
  <si>
    <t>CRITICAL FAILURE</t>
  </si>
  <si>
    <t>KPI already failing at 5% vs 2% target</t>
  </si>
  <si>
    <r>
      <t>CURRENT FAILURE</t>
    </r>
    <r>
      <rPr>
        <sz val="10"/>
        <rFont val="Arial"/>
        <family val="2"/>
      </rPr>
      <t xml:space="preserve"> - £15M excess loss threatens programme viability</t>
    </r>
  </si>
  <si>
    <t>Liquidity constraint - only 3.2 months cash runway vs 6+ target creates pressure to rush expenditure</t>
  </si>
  <si>
    <t>HIGH RISK</t>
  </si>
  <si>
    <t>Cash pressure will force suboptimal spending decisions reducing CPI below 0.98</t>
  </si>
  <si>
    <t>KPI likely to fail - cash constraints compromise value delivery</t>
  </si>
  <si>
    <t>Zero preventable safety incidents</t>
  </si>
  <si>
    <t>Above industry benchmark - programme experiencing 60% more accidents than industry average</t>
  </si>
  <si>
    <t>ACTIVE FAILURE</t>
  </si>
  <si>
    <t>SPI currently at 0.8 vs &lt;0.5 target - 60% performance gap</t>
  </si>
  <si>
    <r>
      <t>CURRENT FAILURE</t>
    </r>
    <r>
      <rPr>
        <sz val="10"/>
        <rFont val="Arial"/>
        <family val="2"/>
      </rPr>
      <t xml:space="preserve"> - already exceeding acceptable accident levels</t>
    </r>
  </si>
  <si>
    <t>Extreme lone worker exposure - score of 12 vs &lt;3 threshold indicates 300% higher risk than acceptable</t>
  </si>
  <si>
    <t>This risk level virtually guarantees future incidents making zero-harm impossible</t>
  </si>
  <si>
    <r>
      <t>IMMINENT FAILURE</t>
    </r>
    <r>
      <rPr>
        <sz val="10"/>
        <rFont val="Arial"/>
        <family val="2"/>
      </rPr>
      <t xml:space="preserve"> - incidents are statistically inevitable</t>
    </r>
  </si>
  <si>
    <t>Systematic compliance failure - 6% of safety audits failing indicates poor safety management systems</t>
  </si>
  <si>
    <t>SYSTEM FAILURE</t>
  </si>
  <si>
    <t>Non-compliance creates legal exposure and increases incident probability</t>
  </si>
  <si>
    <r>
      <t>CURRENT FAILURE</t>
    </r>
    <r>
      <rPr>
        <sz val="10"/>
        <rFont val="Arial"/>
        <family val="2"/>
      </rPr>
      <t xml:space="preserve"> - compliance gaps undermine entire safety objective</t>
    </r>
  </si>
  <si>
    <t>Regulatory compliance</t>
  </si>
  <si>
    <t>Legal challenge risk - high probability of procurement challenges that could halt projects</t>
  </si>
  <si>
    <t>Each challenge could reduce compliance rate by 5-10% making 100% unachievable</t>
  </si>
  <si>
    <t>KPI will fail - legal challenges are highly probable</t>
  </si>
  <si>
    <t>Process failure - taking 100% longer than target (28 vs 14 days) indicates systematic breakdown</t>
  </si>
  <si>
    <t>PROCESS FAILURE</t>
  </si>
  <si>
    <t>Delayed approvals create compliance gaps and regulatory relationship strain</t>
  </si>
  <si>
    <t>KPI at risk - process failures compromise regulatory standing</t>
  </si>
  <si>
    <t>Active non-compliance - currently in breach of at least one regulatory requirement</t>
  </si>
  <si>
    <t>CURRENT BREACH</t>
  </si>
  <si>
    <t>Compliance rate already &lt;100% due to active breach</t>
  </si>
  <si>
    <r>
      <t>CURRENT FAILURE</t>
    </r>
    <r>
      <rPr>
        <sz val="10"/>
        <rFont val="Arial"/>
        <family val="2"/>
      </rPr>
      <t xml:space="preserve"> - 100% target already missed</t>
    </r>
  </si>
  <si>
    <t>Resource optimization</t>
  </si>
  <si>
    <t>Underutilization - resources only 82% utilized vs 90%+ threshold indicating poor resource management</t>
  </si>
  <si>
    <t>DIRECT FAILURE</t>
  </si>
  <si>
    <t>REI currently at 82% vs &gt;85% target - 3+ percentage point gap</t>
  </si>
  <si>
    <r>
      <t>CURRENT FAILURE</t>
    </r>
    <r>
      <rPr>
        <sz val="10"/>
        <rFont val="Arial"/>
        <family val="2"/>
      </rPr>
      <t xml:space="preserve"> - already below minimum efficiency threshold</t>
    </r>
  </si>
  <si>
    <t>Critical capability shortage - 15% of critical roles unfilled vs &lt;5% threshold</t>
  </si>
  <si>
    <t>CAPABILITY CRISIS</t>
  </si>
  <si>
    <t>SGC currently at 85% vs &gt;95% target - 10 percentage point gap</t>
  </si>
  <si>
    <r>
      <t>CURRENT FAILURE</t>
    </r>
    <r>
      <rPr>
        <sz val="10"/>
        <rFont val="Arial"/>
        <family val="2"/>
      </rPr>
      <t xml:space="preserve"> - massive skills shortage compromises delivery</t>
    </r>
  </si>
  <si>
    <t>Both Resource KPIs</t>
  </si>
  <si>
    <t>&gt;85% &amp; &gt;95%</t>
  </si>
  <si>
    <t>Recruitment system failure - high risk that recruitment cannot fill the skills gap</t>
  </si>
  <si>
    <t>Without effective recruitment both resource KPIs will continue deteriorating</t>
  </si>
  <si>
    <t>Both KPIs will worsen - recruitment failure perpetuates resource crisis</t>
  </si>
  <si>
    <t>Stakeholder confidence</t>
  </si>
  <si>
    <t>Reporting reliability issues - medium risk of inaccurate data undermining stakeholder confidence</t>
  </si>
  <si>
    <t>Poor data quality will erode stakeholder trust reducing satisfaction scores</t>
  </si>
  <si>
    <t>KPI at risk - stakeholders losing confidence in programme reporting</t>
  </si>
  <si>
    <t>Systematic data quality failure - only 85% of data validations passing vs 95%+ required</t>
  </si>
  <si>
    <t>QUALITY FAILURE</t>
  </si>
  <si>
    <t>IQI already at 85% vs &gt;95% target - 10+ percentage point gap</t>
  </si>
  <si>
    <r>
      <t>CURRENT FAILURE</t>
    </r>
    <r>
      <rPr>
        <sz val="10"/>
        <rFont val="Arial"/>
        <family val="2"/>
      </rPr>
      <t xml:space="preserve"> - information quality unacceptably poor</t>
    </r>
  </si>
  <si>
    <t>Contractor performance</t>
  </si>
  <si>
    <t>Below minimum standards - weighted performance at 87% vs 90%+ required across delivery/quality/safety/commercial</t>
  </si>
  <si>
    <t>PERFORMANCE FAILURE</t>
  </si>
  <si>
    <t>CPI currently at 87% vs &gt;90% target - 3+ percentage point gap</t>
  </si>
  <si>
    <r>
      <t>CURRENT FAILURE</t>
    </r>
    <r>
      <rPr>
        <sz val="10"/>
        <rFont val="Arial"/>
        <family val="2"/>
      </rPr>
      <t xml:space="preserve"> - contractors not meeting minimum standards</t>
    </r>
  </si>
  <si>
    <t>Process inefficiency - taking 61% longer than target (45 vs 28 days) undermines competitive procurement</t>
  </si>
  <si>
    <t>Extended cycles reduce competition and compromise contractor quality</t>
  </si>
  <si>
    <t>KPI will worsen - poor procurement processes select substandard contractors</t>
  </si>
  <si>
    <t>Value for money</t>
  </si>
  <si>
    <t>Market volatility exposure - inflation risk could undermine value engineering opportunities</t>
  </si>
  <si>
    <t>MARKET RISK</t>
  </si>
  <si>
    <t>Cost inflation will reduce achievable savings making 75% target harder</t>
  </si>
  <si>
    <t>KPI at risk - market conditions may prevent value achievement</t>
  </si>
  <si>
    <t>Budget vs market gap - variance in market rates vs budgeted rates affects value engineering potential</t>
  </si>
  <si>
    <t>BUDGET RISK</t>
  </si>
  <si>
    <t>Significant variance will limit value engineering opportunities</t>
  </si>
  <si>
    <t>KPI uncertain - market conditions will determine achievability</t>
  </si>
  <si>
    <t>Social value delivery</t>
  </si>
  <si>
    <t>Commitment tracking gap - unknown compliance level creates delivery uncertainty</t>
  </si>
  <si>
    <t>MONITORING GAP</t>
  </si>
  <si>
    <t>Without compliance tracking delivery rate cannot be assured</t>
  </si>
  <si>
    <t>KPI uncertain - lack of monitoring prevents performance assessment</t>
  </si>
  <si>
    <t>Community relations risk - poor engagement could undermine social value delivery</t>
  </si>
  <si>
    <t>RELATIONSHIP RISK</t>
  </si>
  <si>
    <t>Community resistance will reduce social value achievement</t>
  </si>
  <si>
    <t>KPI at risk - community buy-in essential for social value success</t>
  </si>
  <si>
    <t>Programme forecast accuracy</t>
  </si>
  <si>
    <t>Monthly Forecast Movement</t>
  </si>
  <si>
    <t>Planning instability - high volatility indicates poor forecasting capability</t>
  </si>
  <si>
    <t>PLANNING RISK</t>
  </si>
  <si>
    <t>Volatile forecasting will exceed 5% monthly variance threshold</t>
  </si>
  <si>
    <t>KPI likely to fail - current programme instability suggests high volatility</t>
  </si>
  <si>
    <t>Forecast reliability gap - poor planning accuracy will cause forecast movement volatility</t>
  </si>
  <si>
    <t>CREDIBILITY RISK</t>
  </si>
  <si>
    <t>Inaccurate planning will force frequent forecast revisions</t>
  </si>
  <si>
    <t>KPI at risk - planning quality directly impacts forecast stability</t>
  </si>
  <si>
    <t>OVERALL PROGRAMME HEALTH SUMMARY</t>
  </si>
  <si>
    <t>Status Category</t>
  </si>
  <si>
    <t>Count</t>
  </si>
  <si>
    <t>Critical Issues</t>
  </si>
  <si>
    <t>REI: (Actual ÷ Planned Hours) × 100% / SGC: ((Required - Unfilled) ÷ Required) × 100%</t>
  </si>
  <si>
    <r>
      <t>Residents First:</t>
    </r>
    <r>
      <rPr>
        <sz val="10"/>
        <rFont val="Arial"/>
        <family val="2"/>
      </rPr>
      <t xml:space="preserve"> No risk should compromise resident safety, housing quality, or service delivery 
</t>
    </r>
    <r>
      <rPr>
        <b/>
        <sz val="10"/>
        <rFont val="Arial"/>
        <family val="2"/>
      </rPr>
      <t>Public Accountability:</t>
    </r>
    <r>
      <rPr>
        <sz val="10"/>
        <rFont val="Arial"/>
        <family val="2"/>
      </rPr>
      <t xml:space="preserve"> Full compliance with all regulations and responsible stewardship of public funds</t>
    </r>
  </si>
  <si>
    <t>KRI Status Analysis &amp; Evalution</t>
  </si>
  <si>
    <t>KPI Current Value</t>
  </si>
  <si>
    <r>
      <t>Overall Statement:</t>
    </r>
    <r>
      <rPr>
        <sz val="12"/>
        <rFont val="Arial"/>
        <family val="2"/>
      </rPr>
      <t xml:space="preserve"> Southwark Construction Programme maintains a conservative risk appetite aligned with its strategic objectives of delivering high-quality affordable housing, protecting public funds, and ensuring resident safety. The programme is willing to accept calculated risks that support delivery excellence while maintaining strong safety standards, regulatory compliance, and stakeholder confidence.</t>
    </r>
  </si>
  <si>
    <r>
      <t>Effective Date:</t>
    </r>
    <r>
      <rPr>
        <sz val="11"/>
        <rFont val="Arial"/>
        <family val="2"/>
      </rPr>
      <t xml:space="preserve"> June 2025 | </t>
    </r>
    <r>
      <rPr>
        <b/>
        <sz val="11"/>
        <rFont val="Arial"/>
        <family val="2"/>
      </rPr>
      <t>Next Review:</t>
    </r>
    <r>
      <rPr>
        <sz val="11"/>
        <rFont val="Arial"/>
        <family val="2"/>
      </rPr>
      <t xml:space="preserve"> December 2025 | </t>
    </r>
    <r>
      <rPr>
        <b/>
        <sz val="11"/>
        <rFont val="Arial"/>
        <family val="2"/>
      </rPr>
      <t>Board Approval:</t>
    </r>
    <r>
      <rPr>
        <sz val="11"/>
        <rFont val="Arial"/>
        <family val="2"/>
      </rPr>
      <t xml:space="preserve"> [To be approved]</t>
    </r>
  </si>
  <si>
    <t>Southwark Construction Programme - KRI &amp; KPI Current Dashboard</t>
  </si>
  <si>
    <t>Input A</t>
  </si>
  <si>
    <t>Input B</t>
  </si>
  <si>
    <t>1-2%</t>
  </si>
  <si>
    <t>&gt;2%</t>
  </si>
  <si>
    <t>2-3%</t>
  </si>
  <si>
    <t>&gt;6 months</t>
  </si>
  <si>
    <t>3-6 months</t>
  </si>
  <si>
    <t>&lt;3 months</t>
  </si>
  <si>
    <t>&lt;3%</t>
  </si>
  <si>
    <t>3-5%</t>
  </si>
  <si>
    <t>&gt;5%</t>
  </si>
  <si>
    <t>0.1-0.5</t>
  </si>
  <si>
    <t>&gt;0.5</t>
  </si>
  <si>
    <t>95-99%</t>
  </si>
  <si>
    <t>&lt;95%</t>
  </si>
  <si>
    <t>&gt;4</t>
  </si>
  <si>
    <t>90-95%</t>
  </si>
  <si>
    <t>&lt;90%</t>
  </si>
  <si>
    <t>&lt;28 days</t>
  </si>
  <si>
    <t>28-35 days</t>
  </si>
  <si>
    <t>&gt;35 days</t>
  </si>
  <si>
    <t>0.95-0.98</t>
  </si>
  <si>
    <t>&lt;0.95</t>
  </si>
  <si>
    <t>&gt;98%</t>
  </si>
  <si>
    <t>95-98%</t>
  </si>
  <si>
    <t>95-105%</t>
  </si>
  <si>
    <t>90-95% or 105-110%</t>
  </si>
  <si>
    <t>&lt;90% or &gt;110%</t>
  </si>
  <si>
    <t>85-90%</t>
  </si>
  <si>
    <t>&lt;85%</t>
  </si>
  <si>
    <t>5-10%</t>
  </si>
  <si>
    <t>&gt;10%</t>
  </si>
  <si>
    <t>&lt;14 days</t>
  </si>
  <si>
    <t>14-21 days</t>
  </si>
  <si>
    <t>&gt;21 days</t>
  </si>
  <si>
    <t>&gt;1</t>
  </si>
  <si>
    <t>Unit</t>
  </si>
  <si>
    <t>%</t>
  </si>
  <si>
    <t>days</t>
  </si>
  <si>
    <t>Input C</t>
  </si>
  <si>
    <t>Input D</t>
  </si>
  <si>
    <t>KPI Status</t>
  </si>
  <si>
    <t>KPI Impact Analysis Table</t>
  </si>
  <si>
    <t>KRI</t>
  </si>
  <si>
    <t>Objectives</t>
  </si>
  <si>
    <t xml:space="preserve">KRI's - How we measure threats </t>
  </si>
  <si>
    <t>KRI Code</t>
  </si>
  <si>
    <t>KPI Code</t>
  </si>
  <si>
    <t>KPI_01</t>
  </si>
  <si>
    <t>KPI_02</t>
  </si>
  <si>
    <t>KPI_03</t>
  </si>
  <si>
    <t>KPI_10</t>
  </si>
  <si>
    <t>KPI_17</t>
  </si>
  <si>
    <t>KPI_25</t>
  </si>
  <si>
    <t>KPI_26</t>
  </si>
  <si>
    <t>KPI_27</t>
  </si>
  <si>
    <t>KPI_28</t>
  </si>
  <si>
    <t>KPI_68</t>
  </si>
  <si>
    <t>Budget Variance Percentage</t>
  </si>
  <si>
    <t>(Actual Spend - Approved Budget) ÷ Approved Budget × 100%</t>
  </si>
  <si>
    <t>Quarterly</t>
  </si>
  <si>
    <t>Control programme financial performance</t>
  </si>
  <si>
    <t>Achieve zero harm objective</t>
  </si>
  <si>
    <t>Planning Permission Success Rate</t>
  </si>
  <si>
    <t>(Planning Applications Approved ÷ Planning Applications Submitted) × 100%</t>
  </si>
  <si>
    <t>Building Regulation Compliance</t>
  </si>
  <si>
    <t>(Building Reg Approvals First Time ÷ Total Building Reg Applications) × 100%</t>
  </si>
  <si>
    <t>Secure necessary approvals</t>
  </si>
  <si>
    <t>Impact
1 to 52</t>
  </si>
  <si>
    <t>Likelihood
1 to 53</t>
  </si>
  <si>
    <t>Linked KRI</t>
  </si>
  <si>
    <t>Notes</t>
  </si>
  <si>
    <t>&gt;15%</t>
  </si>
  <si>
    <t>&gt;0.8</t>
  </si>
  <si>
    <t>&lt;75%</t>
  </si>
  <si>
    <t>75-85%</t>
  </si>
  <si>
    <t>Label</t>
  </si>
  <si>
    <t>Critical Risk</t>
  </si>
  <si>
    <t>RISK REGISTER STATUS UPDATES</t>
  </si>
  <si>
    <r>
      <t>Dashboard Date:</t>
    </r>
    <r>
      <rPr>
        <sz val="18"/>
        <color theme="0"/>
        <rFont val="Arial"/>
        <family val="2"/>
      </rPr>
      <t xml:space="preserve"> June 10, 2025 | </t>
    </r>
    <r>
      <rPr>
        <b/>
        <sz val="18"/>
        <color theme="0"/>
        <rFont val="Arial"/>
        <family val="2"/>
      </rPr>
      <t>Report Owner:</t>
    </r>
    <r>
      <rPr>
        <sz val="18"/>
        <color theme="0"/>
        <rFont val="Arial"/>
        <family val="2"/>
      </rPr>
      <t xml:space="preserve"> Programme Director | </t>
    </r>
    <r>
      <rPr>
        <b/>
        <sz val="18"/>
        <color theme="0"/>
        <rFont val="Arial"/>
        <family val="2"/>
      </rPr>
      <t>Review Frequency:</t>
    </r>
    <r>
      <rPr>
        <sz val="18"/>
        <color theme="0"/>
        <rFont val="Arial"/>
        <family val="2"/>
      </rPr>
      <t xml:space="preserve"> Weekly</t>
    </r>
  </si>
  <si>
    <t xml:space="preserve">SOUTHWARK CONSTRUCTIONS RISK DASHBOARD </t>
  </si>
  <si>
    <t>OVERALL KPI Assesment</t>
  </si>
  <si>
    <t>KRI INFORMATION</t>
  </si>
  <si>
    <t>KPI INFORMATION</t>
  </si>
  <si>
    <t>Description</t>
  </si>
  <si>
    <t>Risk Appetite Alignment Analysis</t>
  </si>
  <si>
    <t>Performance outside acceptable risk appetite</t>
  </si>
  <si>
    <t>Performance within risk appetite boundaries</t>
  </si>
  <si>
    <t>Residual Risk Summary</t>
  </si>
  <si>
    <t>TD</t>
  </si>
  <si>
    <t>When there is a need to define the values of either New score or Target apettite score</t>
  </si>
  <si>
    <t>PY</t>
  </si>
  <si>
    <t>CY</t>
  </si>
  <si>
    <t>V</t>
  </si>
  <si>
    <t>X</t>
  </si>
  <si>
    <t>Distribution</t>
  </si>
  <si>
    <t>Risk Category Performance</t>
  </si>
  <si>
    <t>Target Value</t>
  </si>
  <si>
    <t>Comparaison Graph</t>
  </si>
  <si>
    <t>KPI Current/Target PREDICTION</t>
  </si>
  <si>
    <t>🔴 RED KRIs</t>
  </si>
  <si>
    <t>Critical Escalation Trigger Count</t>
  </si>
  <si>
    <t>🔵 Review Frequency</t>
  </si>
  <si>
    <t>🔵 Business Justification</t>
  </si>
  <si>
    <t>🟢 Sample Input Data</t>
  </si>
  <si>
    <t>🟢 Sample Result</t>
  </si>
  <si>
    <t>80-85%</t>
  </si>
  <si>
    <t>0.5-0.8</t>
  </si>
  <si>
    <r>
      <t>🔵</t>
    </r>
    <r>
      <rPr>
        <b/>
        <sz val="12"/>
        <color theme="0"/>
        <rFont val="Arial"/>
        <family val="2"/>
      </rPr>
      <t xml:space="preserve"> Escalation Trigger</t>
    </r>
  </si>
  <si>
    <r>
      <t>🟢</t>
    </r>
    <r>
      <rPr>
        <b/>
        <sz val="12"/>
        <color theme="0"/>
        <rFont val="Arial"/>
        <family val="2"/>
      </rPr>
      <t xml:space="preserve"> Sample Result</t>
    </r>
  </si>
  <si>
    <t>&lt;15%</t>
  </si>
  <si>
    <t>15-25%</t>
  </si>
  <si>
    <t>&gt;25%</t>
  </si>
  <si>
    <t>Sample Inputs</t>
  </si>
  <si>
    <t>Sample Input Data</t>
  </si>
  <si>
    <t>&gt;80%</t>
  </si>
  <si>
    <t>KPI_05</t>
  </si>
  <si>
    <t>Defect Resolution Rate</t>
  </si>
  <si>
    <t>(Defects Resolved Within SLA ÷ Total Defects Reported) × 100%</t>
  </si>
  <si>
    <t>Maintain construction quality standards</t>
  </si>
  <si>
    <t>KPI_06</t>
  </si>
  <si>
    <t>Change Order Impact</t>
  </si>
  <si>
    <t>(Change Order Costs ÷ Original Contract Value) × 100%</t>
  </si>
  <si>
    <t>Control scope creep and variations</t>
  </si>
  <si>
    <t>60-75%</t>
  </si>
  <si>
    <t>&lt;60%</t>
  </si>
  <si>
    <t>KPI_13</t>
  </si>
  <si>
    <t>&lt;50%</t>
  </si>
  <si>
    <t>KPI_35</t>
  </si>
  <si>
    <t>Critical Role Fill Rate</t>
  </si>
  <si>
    <t>(Critical Roles Filled ÷ Total Critical Roles) × 100%</t>
  </si>
  <si>
    <t>70-80%</t>
  </si>
  <si>
    <t>&lt;70%</t>
  </si>
  <si>
    <t>KPI_41</t>
  </si>
  <si>
    <t>Maintain stakeholder support</t>
  </si>
  <si>
    <t>KPI_43</t>
  </si>
  <si>
    <t>Community Engagement Effectiveness</t>
  </si>
  <si>
    <t>(Community Feedback Incorporated ÷ Total Community Feedback) × 100%</t>
  </si>
  <si>
    <t>Responsive to community needs</t>
  </si>
  <si>
    <t>KPI_44</t>
  </si>
  <si>
    <t>Complaint Resolution Rate</t>
  </si>
  <si>
    <t>(Complaints Resolved Within SLA ÷ Total Complaints) × 100%</t>
  </si>
  <si>
    <t>KPI_49</t>
  </si>
  <si>
    <t>KPI_52</t>
  </si>
  <si>
    <t>Quality Assurance Success</t>
  </si>
  <si>
    <t>(Quality Inspections Passed First Time ÷ Total Quality Inspections) × 100%</t>
  </si>
  <si>
    <t>Maintain construction quality</t>
  </si>
  <si>
    <t>KPI_53</t>
  </si>
  <si>
    <t>Contract Dispute Resolution</t>
  </si>
  <si>
    <t>Average Days to Resolve Contract Disputes</t>
  </si>
  <si>
    <t>&lt;60 days</t>
  </si>
  <si>
    <t>60-90 days</t>
  </si>
  <si>
    <t>&gt;90 days</t>
  </si>
  <si>
    <t>Per dispute</t>
  </si>
  <si>
    <t>Swift dispute resolution</t>
  </si>
  <si>
    <t>KPI_54</t>
  </si>
  <si>
    <t>Supplier Financial Stability</t>
  </si>
  <si>
    <t>(Financially Stable Suppliers ÷ Total Key Suppliers) × 100%</t>
  </si>
  <si>
    <t>Maintain stable supply chain</t>
  </si>
  <si>
    <t>KPI_61</t>
  </si>
  <si>
    <t>KPI_63</t>
  </si>
  <si>
    <t>KPI_64</t>
  </si>
  <si>
    <t>KPI_66</t>
  </si>
  <si>
    <t>&lt;25%</t>
  </si>
  <si>
    <t>&gt;40%</t>
  </si>
  <si>
    <t>KPI_74</t>
  </si>
  <si>
    <t>Cost Forecast Accuracy</t>
  </si>
  <si>
    <t>(Actual Costs ÷ Forecasted Costs) × 100%</t>
  </si>
  <si>
    <t>KPI_75</t>
  </si>
  <si>
    <t>Schedule Forecast Reliability</t>
  </si>
  <si>
    <t>(Actual Completion ÷ Forecasted Completion) × 100%</t>
  </si>
  <si>
    <t>Reliable schedule prediction</t>
  </si>
  <si>
    <t>Related KRI Description</t>
  </si>
  <si>
    <t>Deliver Projects on Time &amp; Budget</t>
  </si>
  <si>
    <t>Deliver Quality Homes</t>
  </si>
  <si>
    <t>±5%</t>
  </si>
  <si>
    <t>±5-8%</t>
  </si>
  <si>
    <t>&gt;±8%</t>
  </si>
  <si>
    <t>KPI_95</t>
  </si>
  <si>
    <t>Governance &amp; Compliance</t>
  </si>
  <si>
    <t>Stakeholder Confidence</t>
  </si>
  <si>
    <t>Deliver Projects Sustainably</t>
  </si>
  <si>
    <t>KPI_82</t>
  </si>
  <si>
    <t>Risk Management Effectiveness</t>
  </si>
  <si>
    <t>(High/Critical Risks With Active Mitigation ÷ Total High/Critical Risks) × 100%</t>
  </si>
  <si>
    <t>85-95%</t>
  </si>
  <si>
    <t>Keep major risks under control</t>
  </si>
  <si>
    <t>70-85%</t>
  </si>
  <si>
    <t>KPI_85</t>
  </si>
  <si>
    <t>Post-Occupancy Satisfaction</t>
  </si>
  <si>
    <t>(Satisfied Residents ÷ Survey Respondents) × 100%</t>
  </si>
  <si>
    <t>65-80%</t>
  </si>
  <si>
    <t>&lt;65%</t>
  </si>
  <si>
    <t>Ensure homes meet expectations</t>
  </si>
  <si>
    <t>75-90%</t>
  </si>
  <si>
    <t>KPI_89</t>
  </si>
  <si>
    <t>KPI_90</t>
  </si>
  <si>
    <t>KPI_91</t>
  </si>
  <si>
    <t>SME Spend Proportion</t>
  </si>
  <si>
    <t>(Contract Value to SMEs ÷ Total Contract Value) × 100%</t>
  </si>
  <si>
    <t>KPI_94</t>
  </si>
  <si>
    <t>Reporting Timeliness</t>
  </si>
  <si>
    <t>(Reports Submitted On Time ÷ Total Reports Due) × 100%</t>
  </si>
  <si>
    <t>Maintain transparency &amp; accountability</t>
  </si>
  <si>
    <t>KPI_96</t>
  </si>
  <si>
    <t>Benefits Realisation Rate</t>
  </si>
  <si>
    <t>KPI_97</t>
  </si>
  <si>
    <t>Project Outcome Alignment Index</t>
  </si>
  <si>
    <t>KPI_98</t>
  </si>
  <si>
    <t>Scope Adherence Rate</t>
  </si>
  <si>
    <t>KPI_99</t>
  </si>
  <si>
    <t>Business Case Cost Variance</t>
  </si>
  <si>
    <t>&lt;+5%</t>
  </si>
  <si>
    <t>+5% to +15%</t>
  </si>
  <si>
    <t>&gt;+15%</t>
  </si>
  <si>
    <t>Previous risk ref (if aplicable)</t>
  </si>
  <si>
    <t>Date Added to Issues Log</t>
  </si>
  <si>
    <t>Impacted projects</t>
  </si>
  <si>
    <t>Control owner</t>
  </si>
  <si>
    <t>Progress updates</t>
  </si>
  <si>
    <t>Date Updated</t>
  </si>
  <si>
    <t>To add to lessons learnt?</t>
  </si>
  <si>
    <t>PR_0007</t>
  </si>
  <si>
    <t>PR_0009</t>
  </si>
  <si>
    <t>Date Added to Risk Register</t>
  </si>
  <si>
    <t>Impact
1 to 5</t>
  </si>
  <si>
    <t>Likelihood
1 to 5</t>
  </si>
  <si>
    <t>Risk response</t>
  </si>
  <si>
    <t>Risk review plan</t>
  </si>
  <si>
    <t>Gross Impact (£)</t>
  </si>
  <si>
    <t>Gross Likelihood (probability / frequency)</t>
  </si>
  <si>
    <t>Gross ALE</t>
  </si>
  <si>
    <t>Residual Impact (£)</t>
  </si>
  <si>
    <t>Residual Likelihood (probability / frequency)</t>
  </si>
  <si>
    <t>Residual ALE</t>
  </si>
  <si>
    <t>Risk Reduction</t>
  </si>
  <si>
    <t>Risk Reduction (%)</t>
  </si>
  <si>
    <r>
      <t xml:space="preserve">The </t>
    </r>
    <r>
      <rPr>
        <b/>
        <i/>
        <sz val="8"/>
        <color theme="0"/>
        <rFont val="Arial Narrow"/>
        <family val="2"/>
      </rPr>
      <t>unique reference number</t>
    </r>
    <r>
      <rPr>
        <i/>
        <sz val="8"/>
        <color theme="0"/>
        <rFont val="Arial Narrow"/>
        <family val="2"/>
      </rPr>
      <t xml:space="preserve"> given to the identified risk – usually run in numerical order - e.g. PR_0001</t>
    </r>
  </si>
  <si>
    <t xml:space="preserve">The workstream with which the risk is associated </t>
  </si>
  <si>
    <t>Linked key risk indicator</t>
  </si>
  <si>
    <r>
      <rPr>
        <b/>
        <i/>
        <sz val="8"/>
        <color theme="0"/>
        <rFont val="Arial Narrow"/>
        <family val="2"/>
      </rPr>
      <t xml:space="preserve">A full description of the risk, impact and likelihood
</t>
    </r>
    <r>
      <rPr>
        <i/>
        <sz val="8"/>
        <color theme="0"/>
        <rFont val="Arial Narrow"/>
        <family val="2"/>
      </rPr>
      <t>Risks should follow the below format:
'If…………………..
Then there is a risk that………………………
Therefore/Resulting in…………………………'</t>
    </r>
  </si>
  <si>
    <t>The internal/external factors the risk is most closely associated with</t>
  </si>
  <si>
    <t>The impact that the risk would have if it occurs (5 highest)</t>
  </si>
  <si>
    <t>The Likelihood that the risk will occur (5 highest)</t>
  </si>
  <si>
    <t>Raw risk score before mitigating actions</t>
  </si>
  <si>
    <t>Select from drop down menu – Avoid, Reduce, Transfer, Accept</t>
  </si>
  <si>
    <t xml:space="preserve">A detailed list / description of the action(s) which are, or will be, in place to reduce or eliminate the effects of the risk. 
</t>
  </si>
  <si>
    <t>The accepteable level of tolerance that has been agreed for the risk</t>
  </si>
  <si>
    <t>This column should be maintained with dated updates – with names included so that there is an audit trail of action – including agreement on reason for closure of the risk</t>
  </si>
  <si>
    <t>The person or body with the authority to close a risk. The closing authority may differ according to the level of risk, depending on the governance arrangements put in place</t>
  </si>
  <si>
    <t>ALE = annualised loss expectancy</t>
  </si>
  <si>
    <t>Avoid</t>
  </si>
  <si>
    <t>Accept</t>
  </si>
  <si>
    <t>Reduce</t>
  </si>
  <si>
    <t>Review</t>
  </si>
  <si>
    <t>Transfer</t>
  </si>
  <si>
    <t>OVERALL KPI KRI Assesment</t>
  </si>
  <si>
    <t>Issues Summary</t>
  </si>
  <si>
    <t>Issue Category</t>
  </si>
  <si>
    <t>Issue STATUS UPDATES</t>
  </si>
  <si>
    <t>KRI_E01</t>
  </si>
  <si>
    <t>&lt;55%</t>
  </si>
  <si>
    <t>55-70%</t>
  </si>
  <si>
    <t>&gt;70%</t>
  </si>
  <si>
    <t>KRI_SA01</t>
  </si>
  <si>
    <t>Strategic Alignment</t>
  </si>
  <si>
    <t>KRI_T01</t>
  </si>
  <si>
    <t>Technical Integration</t>
  </si>
  <si>
    <t>KRI_ST01</t>
  </si>
  <si>
    <t>KRI_S01</t>
  </si>
  <si>
    <t>KRI_RS01</t>
  </si>
  <si>
    <t>Resource Resilience</t>
  </si>
  <si>
    <t>KRI_R01</t>
  </si>
  <si>
    <t>Regulatory &amp; Compliance</t>
  </si>
  <si>
    <t>KRI_D01</t>
  </si>
  <si>
    <t>Delivery Performance</t>
  </si>
  <si>
    <t>KRI_F01</t>
  </si>
  <si>
    <t>Financial Viability</t>
  </si>
  <si>
    <t>Row Labels</t>
  </si>
  <si>
    <t>Grand Total</t>
  </si>
  <si>
    <t>Sum of Gross ALE</t>
  </si>
  <si>
    <t>Sum of Residual ALE</t>
  </si>
  <si>
    <r>
      <t xml:space="preserve">🔴 </t>
    </r>
    <r>
      <rPr>
        <b/>
        <sz val="36"/>
        <color theme="0"/>
        <rFont val="Arial"/>
        <family val="2"/>
      </rPr>
      <t>RED KRIs</t>
    </r>
  </si>
  <si>
    <r>
      <t xml:space="preserve">🟡 </t>
    </r>
    <r>
      <rPr>
        <b/>
        <sz val="36"/>
        <rFont val="Arial"/>
        <family val="2"/>
      </rPr>
      <t>AMBER KRIs</t>
    </r>
  </si>
  <si>
    <r>
      <t xml:space="preserve">🟢 </t>
    </r>
    <r>
      <rPr>
        <b/>
        <sz val="36"/>
        <rFont val="Arial"/>
        <family val="2"/>
      </rPr>
      <t>GREEN KRIs</t>
    </r>
  </si>
  <si>
    <t xml:space="preserve">OCTOBER </t>
  </si>
  <si>
    <t>Community Performance</t>
  </si>
  <si>
    <t>Programme Financial Sustainability</t>
  </si>
  <si>
    <t>financial risk exposure</t>
  </si>
  <si>
    <t>(Budget Control + Cost Management + Funding Security + Revenue Performance + Market Risk) ÷ 5</t>
  </si>
  <si>
    <t>Resource &amp; Capability Adequacy</t>
  </si>
  <si>
    <t>resource availability risk</t>
  </si>
  <si>
    <t>(Staff Capacity + Skills Availability + Key Personnel + Specialist Resources + Recruitment) ÷ 5</t>
  </si>
  <si>
    <t>Building Control &amp; Safety Compliance</t>
  </si>
  <si>
    <t>regulatory compliance risk</t>
  </si>
  <si>
    <t>(Building Control Performance + Fire Safety + BSA Gateways + Safety Systems + Regulatory Adherence) ÷ 5</t>
  </si>
  <si>
    <t>Programme Delivery Excellence</t>
  </si>
  <si>
    <t>delivery execution risk</t>
  </si>
  <si>
    <t>(Schedule Performance + Quality + Contractor Management + Pipeline Health + Handover Success) ÷ 5</t>
  </si>
  <si>
    <t>Strategic Objectives &amp; Adaptability</t>
  </si>
  <si>
    <t>strategic misalignment risk</t>
  </si>
  <si>
    <t>(Corporate Plan Alignment + Housing Targets + Policy Response + Estate Renewal + Political Support) ÷ 5</t>
  </si>
  <si>
    <t>Technical Delivery &amp; Infrastructure</t>
  </si>
  <si>
    <t>technical integration risk</t>
  </si>
  <si>
    <t>(Design Quality + Infrastructure Coordination + Data Management + Utilities Integration + Systems) ÷ 5</t>
  </si>
  <si>
    <t>Stakeholder Relations &amp; Reputation</t>
  </si>
  <si>
    <t>stakeholder confidence risk</t>
  </si>
  <si>
    <t>(Resident Satisfaction + Community Relations + Communication + Political Confidence + Trust) ÷ 5</t>
  </si>
  <si>
    <t>Supply Chain &amp; Safety</t>
  </si>
  <si>
    <t>Supply Chain &amp; Safety Performance</t>
  </si>
  <si>
    <t>supply chain disruption risk</t>
  </si>
  <si>
    <t>(Contractor Stability + Material Security + Safety Compliance + Quality Standards + Risk Management) ÷ 5</t>
  </si>
  <si>
    <t>Environment &amp; Sustainability</t>
  </si>
  <si>
    <t>Sustainability &amp; Environmental Performance</t>
  </si>
  <si>
    <t>environmental compliance risk</t>
  </si>
  <si>
    <t>(Net Zero Progress + Carbon Management + Energy Strategy + Environmental Compliance + Climate Resilience) ÷ 5</t>
  </si>
  <si>
    <t>KRI_CP01</t>
  </si>
  <si>
    <t>Community Benefit Delivery</t>
  </si>
  <si>
    <t>community engagement risk</t>
  </si>
  <si>
    <t>(Employment + Apprenticeships + Local Procurement + Community Investment + Skills Development) ÷ 5</t>
  </si>
  <si>
    <t>Employment: 95/100 = 95% achieved = 95% score
Apprenticeships: 28/36 = 78% achieved = 78% score
Local: £800K/£1M = 80% achieved = 80% score
Community: £1.5M/£2M = 75% spent = 75% score
Skills: 6/8 programs = 75% on track = 75% score</t>
  </si>
  <si>
    <t>Schedule: 14/30 = 47% behind = 53% score
Quality: 15% defects vs 8% target = 47% score
Contractor: 8/12 = 67% disputes = 33% score
Pipeline: 5/10 = 50% not ready = 50% score
Handover: 6 weeks delay = 70% score</t>
  </si>
  <si>
    <t>Corporate: 75/100 = 75% achieved = 75% score
Housing: 450/600 = 75% achieved = 75% score
Policy: 30 days vs 10 target = 33% score
Estate: 3/5 = 60% delayed = 40% score
Political: 7/10 support = 70% score</t>
  </si>
  <si>
    <t>Design: 11/54 = 20% affected = 80% score
Infrastructure: 8 sites delayed = 67% score
Data: 20% error rate vs 5% target = 25% score
Utilities: 4/12 schemes dependent = 67% score
Systems: 15/25 buildings need SIBs = 40% score</t>
  </si>
  <si>
    <t>Resident: 6.8/10 vs 8/10 target = 68% score
Community: 4/10 schemes opposed = 60% score
Communication: 5 failures this quarter = 70% score
Political: 7.8/10 confidence = 78% score
Trust: 7.7/10 stakeholder trust = 77% score</t>
  </si>
  <si>
    <t>Contractor: 2/12 = 17% at risk = 83% score
Material: 12% price increase = 65% score
Safety: 2 incidents/50 sites = 96% score
Quality: 95% standards met = 95% score
Risk: 5 risks mitigated monthly = 75% score</t>
  </si>
  <si>
    <t>Net Zero: 75% progress vs target = 75% score
Carbon: 15 tonnes over vs 100 target = 85% score
Energy: 68% vs 85% target = 68% score
Environmental: 0 breaches = 100% score
Climate: 3/8 risks addressed = 38% score</t>
  </si>
  <si>
    <t>Programme Financial Sustainability, Programme Delivery Excellence</t>
  </si>
  <si>
    <t>Programme goals delivered</t>
  </si>
  <si>
    <t>Overall programme performance measure across 54+ schemes</t>
  </si>
  <si>
    <t>Budget Performance Rate</t>
  </si>
  <si>
    <t>(Projects Within Approved Budget ÷ Total Projects) × 100%</t>
  </si>
  <si>
    <t>Simpler than Earned Value, uses actual Southwark budget tracking</t>
  </si>
  <si>
    <t>Track financial control across portfolio</t>
  </si>
  <si>
    <t>Average Budget Variance</t>
  </si>
  <si>
    <t>Average of (Actual Spend - Approved Budget) ÷ Approved Budget across all projects</t>
  </si>
  <si>
    <t>More meaningful than EV for local authority context</t>
  </si>
  <si>
    <t>&lt;8%</t>
  </si>
  <si>
    <t>8-15%</t>
  </si>
  <si>
    <t>Measure typical cost overrun scale</t>
  </si>
  <si>
    <t>Budget deviation managed</t>
  </si>
  <si>
    <t>Contingency Management Score</t>
  </si>
  <si>
    <t>(Unused Contingency ÷ Total Contingency Available) × 100%</t>
  </si>
  <si>
    <t>Revised: Higher unused contingency = better financial management</t>
  </si>
  <si>
    <t>25-40%</t>
  </si>
  <si>
    <t>Preserve reserves for genuine risks</t>
  </si>
  <si>
    <t>Cost forecasts accurate</t>
  </si>
  <si>
    <t>Accurate cost prediction across schemes</t>
  </si>
  <si>
    <t>Schedules projected reliably</t>
  </si>
  <si>
    <t>Changes successfully managed</t>
  </si>
  <si>
    <t>Critical risks mitigated, based on live risk register</t>
  </si>
  <si>
    <t>Planning Sustainability Compliance Rate</t>
  </si>
  <si>
    <t>(Sustainability Conditions Discharged Successfully ÷ Total Sustainability Conditions) × 100%</t>
  </si>
  <si>
    <t>Uses existing Southwark data streams</t>
  </si>
  <si>
    <t>Direct compliance with planning requirements</t>
  </si>
  <si>
    <t>Energy Performance Gap Minimization</t>
  </si>
  <si>
    <t>(Projects Achieving Within 10% of Designed Energy Rating ÷ Total Completed Projects) × 100%</t>
  </si>
  <si>
    <t>6-month lag for EPC data availability</t>
  </si>
  <si>
    <t>Ensure energy performance targets are met</t>
  </si>
  <si>
    <t>Construction Efficiency Score</t>
  </si>
  <si>
    <t>(Projects Using Efficient Methods ÷ Total Projects) × 100%</t>
  </si>
  <si>
    <t>Methods: prefab elements, standardized designs, bulk procurement</t>
  </si>
  <si>
    <t>&gt;60%</t>
  </si>
  <si>
    <t>45-60%</t>
  </si>
  <si>
    <t>&lt;45%</t>
  </si>
  <si>
    <t>Improve delivery speed and quality</t>
  </si>
  <si>
    <t>Carbon Reduction Target Achievement</t>
  </si>
  <si>
    <t>(Projects Meeting Carbon Reduction Targets ÷ Total Applicable Projects) × 100%</t>
  </si>
  <si>
    <t>New builds &gt;10 units, major refurbs &gt;£2M</t>
  </si>
  <si>
    <t>Per completion</t>
  </si>
  <si>
    <t>Align with Southwark climate commitments</t>
  </si>
  <si>
    <t>Environmental Incident Response Rate</t>
  </si>
  <si>
    <t>(Environmental Incidents Resolved Within 48 Hours ÷ Total Environmental Incidents) × 100%</t>
  </si>
  <si>
    <t>Includes dust complaints, noise violations, contamination</t>
  </si>
  <si>
    <t>Maintain community relations and compliance</t>
  </si>
  <si>
    <t>Defects resolved</t>
  </si>
  <si>
    <t>Programme Delivery Excellence, Technical Delivery &amp; Infrastructure</t>
  </si>
  <si>
    <t>Quality standards met</t>
  </si>
  <si>
    <t>Digital Process Adoption Rate</t>
  </si>
  <si>
    <t>(Projects Using Digital Workflows ÷ Total Projects) × 100%</t>
  </si>
  <si>
    <t>Specific to Southwark systems: digital planning, BIM Level 2, digital handovers</t>
  </si>
  <si>
    <t>50-70%</t>
  </si>
  <si>
    <t>Improve efficiency through digitalization</t>
  </si>
  <si>
    <t>Resident satisfaction, based on 12-month survey</t>
  </si>
  <si>
    <t>Stable suppliers retained</t>
  </si>
  <si>
    <t>Statutory &amp; internal reports on time, includes Cabinet reports, GLA returns</t>
  </si>
  <si>
    <t>((Safety × 40%) + (Quality × 30%) + (Delivery × 20%) + (Commercial × 10%))</t>
  </si>
  <si>
    <t>Revised weighting prioritizing safety and quality for social housing</t>
  </si>
  <si>
    <t>Ensure contractor excellence with appropriate priorities</t>
  </si>
  <si>
    <t>Critical roles filled, includes Matthew Jackson type roles</t>
  </si>
  <si>
    <t>Maintain key personnel capacity</t>
  </si>
  <si>
    <t>Disputes resolved effectively</t>
  </si>
  <si>
    <t>Building Standards Compliance Rate</t>
  </si>
  <si>
    <t>(Projects Meeting All Building Standards First Time ÷ Total Projects) × 100%</t>
  </si>
  <si>
    <t>Broader than Building Safety Act - includes all building regs, fire safety, accessibility</t>
  </si>
  <si>
    <t>Ensure all developments meet required standards</t>
  </si>
  <si>
    <t>Regulatory requirements met</t>
  </si>
  <si>
    <t>Planning approvals secured</t>
  </si>
  <si>
    <t>Building standards met, critical bottleneck for programme</t>
  </si>
  <si>
    <t>Meet construction standards without delays</t>
  </si>
  <si>
    <t>Safety targets met</t>
  </si>
  <si>
    <t>KPI_BC1</t>
  </si>
  <si>
    <t>Housing Delivery Delay Cost</t>
  </si>
  <si>
    <t>(Delay Weeks × £400 void cost × Delayed Units)</t>
  </si>
  <si>
    <t>London social housing void cost reality</t>
  </si>
  <si>
    <t>Control major programme cost impact</t>
  </si>
  <si>
    <t>£160K</t>
  </si>
  <si>
    <t>Community engagement achieved</t>
  </si>
  <si>
    <t>Stakeholder expectations met</t>
  </si>
  <si>
    <t>Complaints resolved</t>
  </si>
  <si>
    <t>Address stakeholder concerns promptly</t>
  </si>
  <si>
    <t>(Social Value Commitments Met ÷ Total Social Value Commitments) × 100%</t>
  </si>
  <si>
    <t>Broader than just apprenticeships - includes training, local employment, community facilities</t>
  </si>
  <si>
    <t>Deliver comprehensive community benefits</t>
  </si>
  <si>
    <t>Local Workforce Development</t>
  </si>
  <si>
    <t>(Local Workers + Apprentices ÷ Total Workforce) × 100%</t>
  </si>
  <si>
    <t>Combines local labour with skills development</t>
  </si>
  <si>
    <t>Build local capacity and provide opportunities</t>
  </si>
  <si>
    <t>SME contracts awarded, SME as per UK Gov definition</t>
  </si>
  <si>
    <t>Support small business development</t>
  </si>
  <si>
    <t>Deliver According to Original Outcomes</t>
  </si>
  <si>
    <t>(Benefits Achieved ÷ Benefits Forecast) × 100%</t>
  </si>
  <si>
    <t>Benefits delivered vs promised, measured at project completion</t>
  </si>
  <si>
    <t>Ensure projects deliver promised benefits</t>
  </si>
  <si>
    <t>(Schemes Aligned to BC Objectives ÷ Total Schemes) × 100%</t>
  </si>
  <si>
    <t>Strategic alignment maintained, assessment against original business case</t>
  </si>
  <si>
    <t>Confirm alignment with approved objectives</t>
  </si>
  <si>
    <t>(Approved Scope Items Delivered ÷ Total Approved Scope) × 100%</t>
  </si>
  <si>
    <t>Scope delivered as approved, excludes approved change requests</t>
  </si>
  <si>
    <t>Prevent unauthorized scope variations</t>
  </si>
  <si>
    <t>((Actual Cost - BC Approved Budget) ÷ BC Approved Budget) × 100%</t>
  </si>
  <si>
    <t>Budget adherence to BC, positive variance indicates overspend</t>
  </si>
  <si>
    <t>Track alignment with business case budgets</t>
  </si>
  <si>
    <t>3–6 months</t>
  </si>
  <si>
    <t>6–12 months</t>
  </si>
  <si>
    <t>≥1 year</t>
  </si>
  <si>
    <t>Open Risks by Age Bucket</t>
  </si>
  <si>
    <t>Age bucket</t>
  </si>
  <si>
    <t>Open risk count</t>
  </si>
  <si>
    <t>visualization</t>
  </si>
  <si>
    <t>0–3 months</t>
  </si>
  <si>
    <t>≥2 year</t>
  </si>
  <si>
    <t>🔴 RED KPIs</t>
  </si>
  <si>
    <t>🟡 AMBER KPIs</t>
  </si>
  <si>
    <t>🟢 GREEN KPIs</t>
  </si>
  <si>
    <t>Open Issues by Age Bucket</t>
  </si>
  <si>
    <t>RISK INFORMATION</t>
  </si>
  <si>
    <t>ISSUES INFORMATION</t>
  </si>
  <si>
    <t>106 %</t>
  </si>
  <si>
    <t>5 %</t>
  </si>
  <si>
    <t>50 %</t>
  </si>
  <si>
    <t>🟢Notes</t>
  </si>
  <si>
    <t>Critical for programme viability and investor confidence; early warning of financial distress</t>
  </si>
  <si>
    <t>Ensures adequate human resources to deliver programme objectives without capacity constraints</t>
  </si>
  <si>
    <t>Maintains regulatory compliance and prevents costly delays or safety incidents</t>
  </si>
  <si>
    <t>Core performance indicator linking directly to programme success and stakeholder satisfaction</t>
  </si>
  <si>
    <t>Ensures programme remains aligned with organizational strategy and policy requirements</t>
  </si>
  <si>
    <t>Prevents technical failures and integration issues that could impact delivery quality</t>
  </si>
  <si>
    <t>Maintains stakeholder support critical for programme continuation and success</t>
  </si>
  <si>
    <t>Ensures reliable supply chain and maintains safety standards to prevent disruptions</t>
  </si>
  <si>
    <t>Supports long-term sustainability goals and regulatory environmental requirements</t>
  </si>
  <si>
    <t>Demonstrates social value delivery and maintains community support for programme activities</t>
  </si>
  <si>
    <t>Composite indicator across 5 financial risk dimensions</t>
  </si>
  <si>
    <t>Measures human resource adequacy across key dimensions</t>
  </si>
  <si>
    <t>Composite safety and regulatory compliance measure</t>
  </si>
  <si>
    <t>Overall delivery performance across key execution areas</t>
  </si>
  <si>
    <t>Measures alignment with strategic objectives and adaptability</t>
  </si>
  <si>
    <t>Technical delivery capability and integration effectiveness</t>
  </si>
  <si>
    <t>Stakeholder relationship health and reputation management</t>
  </si>
  <si>
    <t>Supply chain resilience and safety performance</t>
  </si>
  <si>
    <t>Environmental performance and sustainability progress</t>
  </si>
  <si>
    <t>Community benefit and social value delivery performance</t>
  </si>
  <si>
    <t>Budget: 78%, 
Cost: 95%, 
Funding: 40%, 
Revenue: 60%, 
Market: 42%</t>
  </si>
  <si>
    <t>Capacity: 70%, 
Skills: 85%, 
Personnel: 67%, Specialists: 50%, Recruitment: 40%</t>
  </si>
  <si>
    <t>BC: 67%, 
Fire: 70%, 
BSA: 72%, 
Safety: 40%, 
Regulatory: 45%</t>
  </si>
  <si>
    <t>Schedule: 53%, 
Quality: 47%, 
Contractors: 33%, 
Pipeline: 50%, 
Handover: 70%</t>
  </si>
  <si>
    <t>Corp Plan: 75%, 
Targets: 75%, 
Policy: 33%, 
Estate: 40%, 
Political: 70%</t>
  </si>
  <si>
    <t>Design: 80%, Infrastructure: 67%, 
Data: 25%, 
Utilities: 67%, 
Systems: 40%</t>
  </si>
  <si>
    <t>Residents: 68%, Community: 60%, Communication: 70%, Political: 78%, 
Trust: 77%</t>
  </si>
  <si>
    <t>Contractors: 83%, Materials: 65%, 
Safety: 96%, 
Quality: 95%, 
Risk Mgmt: 75%</t>
  </si>
  <si>
    <t>Net Zero: 75%, 
Carbon: 85%, 
Energy: 68%, Environmental:100%, Climate: 38%</t>
  </si>
  <si>
    <t>Employment: 96%, Apprenticeships: 78%, Procurement: 80%, Investment: 75%, 
Skills: 75%</t>
  </si>
  <si>
    <r>
      <rPr>
        <b/>
        <sz val="10"/>
        <rFont val="Arial"/>
        <family val="2"/>
      </rPr>
      <t xml:space="preserve">Input A: </t>
    </r>
    <r>
      <rPr>
        <sz val="10"/>
        <rFont val="Arial"/>
        <family val="2"/>
      </rPr>
      <t xml:space="preserve">Budget: 78%, 
</t>
    </r>
    <r>
      <rPr>
        <b/>
        <sz val="10"/>
        <rFont val="Arial"/>
        <family val="2"/>
      </rPr>
      <t>Input B:</t>
    </r>
    <r>
      <rPr>
        <sz val="10"/>
        <rFont val="Arial"/>
        <family val="2"/>
      </rPr>
      <t xml:space="preserve"> Cost: 95%, 
</t>
    </r>
    <r>
      <rPr>
        <b/>
        <sz val="10"/>
        <rFont val="Arial"/>
        <family val="2"/>
      </rPr>
      <t>Input C:</t>
    </r>
    <r>
      <rPr>
        <sz val="10"/>
        <rFont val="Arial"/>
        <family val="2"/>
      </rPr>
      <t xml:space="preserve"> Funding: 40%, 
</t>
    </r>
    <r>
      <rPr>
        <b/>
        <sz val="10"/>
        <rFont val="Arial"/>
        <family val="2"/>
      </rPr>
      <t>Input D:</t>
    </r>
    <r>
      <rPr>
        <sz val="10"/>
        <rFont val="Arial"/>
        <family val="2"/>
      </rPr>
      <t xml:space="preserve"> Revenue: 60%, 
</t>
    </r>
    <r>
      <rPr>
        <b/>
        <sz val="10"/>
        <rFont val="Arial"/>
        <family val="2"/>
      </rPr>
      <t>Input E:</t>
    </r>
    <r>
      <rPr>
        <sz val="10"/>
        <rFont val="Arial"/>
        <family val="2"/>
      </rPr>
      <t xml:space="preserve"> Market: 42%</t>
    </r>
  </si>
  <si>
    <r>
      <rPr>
        <b/>
        <sz val="10"/>
        <rFont val="Arial"/>
        <family val="2"/>
      </rPr>
      <t>Input A:</t>
    </r>
    <r>
      <rPr>
        <sz val="10"/>
        <rFont val="Arial"/>
        <family val="2"/>
      </rPr>
      <t xml:space="preserve"> Capacity: 70%, 
</t>
    </r>
    <r>
      <rPr>
        <b/>
        <sz val="10"/>
        <rFont val="Arial"/>
        <family val="2"/>
      </rPr>
      <t>Input B:</t>
    </r>
    <r>
      <rPr>
        <sz val="10"/>
        <rFont val="Arial"/>
        <family val="2"/>
      </rPr>
      <t xml:space="preserve"> Skills: 85%, 
</t>
    </r>
    <r>
      <rPr>
        <b/>
        <sz val="10"/>
        <rFont val="Arial"/>
        <family val="2"/>
      </rPr>
      <t>Input C:</t>
    </r>
    <r>
      <rPr>
        <sz val="10"/>
        <rFont val="Arial"/>
        <family val="2"/>
      </rPr>
      <t xml:space="preserve"> Personnel: 67%, 
</t>
    </r>
    <r>
      <rPr>
        <b/>
        <sz val="10"/>
        <rFont val="Arial"/>
        <family val="2"/>
      </rPr>
      <t>Input D:</t>
    </r>
    <r>
      <rPr>
        <sz val="10"/>
        <rFont val="Arial"/>
        <family val="2"/>
      </rPr>
      <t xml:space="preserve"> Specialists: 50%, 
</t>
    </r>
    <r>
      <rPr>
        <b/>
        <sz val="10"/>
        <rFont val="Arial"/>
        <family val="2"/>
      </rPr>
      <t xml:space="preserve">Input E: </t>
    </r>
    <r>
      <rPr>
        <sz val="10"/>
        <rFont val="Arial"/>
        <family val="2"/>
      </rPr>
      <t>Recruitment: 40%</t>
    </r>
  </si>
  <si>
    <r>
      <rPr>
        <b/>
        <sz val="10"/>
        <rFont val="Arial"/>
        <family val="2"/>
      </rPr>
      <t xml:space="preserve">Input A: </t>
    </r>
    <r>
      <rPr>
        <sz val="10"/>
        <rFont val="Arial"/>
        <family val="2"/>
      </rPr>
      <t xml:space="preserve">BC: 67%, 
</t>
    </r>
    <r>
      <rPr>
        <b/>
        <sz val="10"/>
        <rFont val="Arial"/>
        <family val="2"/>
      </rPr>
      <t>Input B:</t>
    </r>
    <r>
      <rPr>
        <sz val="10"/>
        <rFont val="Arial"/>
        <family val="2"/>
      </rPr>
      <t xml:space="preserve"> Fire: 70%, 
</t>
    </r>
    <r>
      <rPr>
        <b/>
        <sz val="10"/>
        <rFont val="Arial"/>
        <family val="2"/>
      </rPr>
      <t xml:space="preserve">Input C: </t>
    </r>
    <r>
      <rPr>
        <sz val="10"/>
        <rFont val="Arial"/>
        <family val="2"/>
      </rPr>
      <t xml:space="preserve">BSA: 72%, 
</t>
    </r>
    <r>
      <rPr>
        <b/>
        <sz val="10"/>
        <rFont val="Arial"/>
        <family val="2"/>
      </rPr>
      <t>Input D:</t>
    </r>
    <r>
      <rPr>
        <sz val="10"/>
        <rFont val="Arial"/>
        <family val="2"/>
      </rPr>
      <t xml:space="preserve"> Safety: 40%, 
</t>
    </r>
    <r>
      <rPr>
        <b/>
        <sz val="10"/>
        <rFont val="Arial"/>
        <family val="2"/>
      </rPr>
      <t>Input E:</t>
    </r>
    <r>
      <rPr>
        <sz val="10"/>
        <rFont val="Arial"/>
        <family val="2"/>
      </rPr>
      <t xml:space="preserve"> Regulatory: 45%</t>
    </r>
  </si>
  <si>
    <r>
      <rPr>
        <b/>
        <sz val="10"/>
        <rFont val="Arial"/>
        <family val="2"/>
      </rPr>
      <t>Input A:</t>
    </r>
    <r>
      <rPr>
        <sz val="10"/>
        <rFont val="Arial"/>
        <family val="2"/>
      </rPr>
      <t xml:space="preserve"> Schedule: 53%, 
</t>
    </r>
    <r>
      <rPr>
        <b/>
        <sz val="10"/>
        <rFont val="Arial"/>
        <family val="2"/>
      </rPr>
      <t>Input B:</t>
    </r>
    <r>
      <rPr>
        <sz val="10"/>
        <rFont val="Arial"/>
        <family val="2"/>
      </rPr>
      <t xml:space="preserve"> Quality: 47%, 
</t>
    </r>
    <r>
      <rPr>
        <b/>
        <sz val="10"/>
        <rFont val="Arial"/>
        <family val="2"/>
      </rPr>
      <t>Input C:</t>
    </r>
    <r>
      <rPr>
        <sz val="10"/>
        <rFont val="Arial"/>
        <family val="2"/>
      </rPr>
      <t xml:space="preserve"> Contractors: 33%, 
</t>
    </r>
    <r>
      <rPr>
        <b/>
        <sz val="10"/>
        <rFont val="Arial"/>
        <family val="2"/>
      </rPr>
      <t xml:space="preserve">Input D: </t>
    </r>
    <r>
      <rPr>
        <sz val="10"/>
        <rFont val="Arial"/>
        <family val="2"/>
      </rPr>
      <t xml:space="preserve">Pipeline: 50%, 
</t>
    </r>
    <r>
      <rPr>
        <b/>
        <sz val="10"/>
        <rFont val="Arial"/>
        <family val="2"/>
      </rPr>
      <t>Input E:</t>
    </r>
    <r>
      <rPr>
        <sz val="10"/>
        <rFont val="Arial"/>
        <family val="2"/>
      </rPr>
      <t xml:space="preserve"> Handover: 70%</t>
    </r>
  </si>
  <si>
    <r>
      <rPr>
        <b/>
        <sz val="10"/>
        <rFont val="Arial"/>
        <family val="2"/>
      </rPr>
      <t>Input A</t>
    </r>
    <r>
      <rPr>
        <sz val="10"/>
        <rFont val="Arial"/>
        <family val="2"/>
      </rPr>
      <t xml:space="preserve">: Corp Plan: 75%, 
</t>
    </r>
    <r>
      <rPr>
        <b/>
        <sz val="10"/>
        <rFont val="Arial"/>
        <family val="2"/>
      </rPr>
      <t xml:space="preserve">Input B: </t>
    </r>
    <r>
      <rPr>
        <sz val="10"/>
        <rFont val="Arial"/>
        <family val="2"/>
      </rPr>
      <t xml:space="preserve">Targets: 75%, 
</t>
    </r>
    <r>
      <rPr>
        <b/>
        <sz val="10"/>
        <rFont val="Arial"/>
        <family val="2"/>
      </rPr>
      <t>Input C:</t>
    </r>
    <r>
      <rPr>
        <sz val="10"/>
        <rFont val="Arial"/>
        <family val="2"/>
      </rPr>
      <t xml:space="preserve"> Policy: 33%, 
</t>
    </r>
    <r>
      <rPr>
        <b/>
        <sz val="10"/>
        <rFont val="Arial"/>
        <family val="2"/>
      </rPr>
      <t>Input D:</t>
    </r>
    <r>
      <rPr>
        <sz val="10"/>
        <rFont val="Arial"/>
        <family val="2"/>
      </rPr>
      <t xml:space="preserve"> Estate: 40%, 
</t>
    </r>
    <r>
      <rPr>
        <b/>
        <sz val="10"/>
        <rFont val="Arial"/>
        <family val="2"/>
      </rPr>
      <t>Input E:</t>
    </r>
    <r>
      <rPr>
        <sz val="10"/>
        <rFont val="Arial"/>
        <family val="2"/>
      </rPr>
      <t xml:space="preserve"> Political: 70%</t>
    </r>
  </si>
  <si>
    <r>
      <rPr>
        <b/>
        <sz val="10"/>
        <rFont val="Arial"/>
        <family val="2"/>
      </rPr>
      <t>Input A:</t>
    </r>
    <r>
      <rPr>
        <sz val="10"/>
        <rFont val="Arial"/>
        <family val="2"/>
      </rPr>
      <t xml:space="preserve"> Design: 80%, 
</t>
    </r>
    <r>
      <rPr>
        <b/>
        <sz val="10"/>
        <rFont val="Arial"/>
        <family val="2"/>
      </rPr>
      <t>Input B:</t>
    </r>
    <r>
      <rPr>
        <sz val="10"/>
        <rFont val="Arial"/>
        <family val="2"/>
      </rPr>
      <t xml:space="preserve"> Infrastructure: 67%, 
</t>
    </r>
    <r>
      <rPr>
        <b/>
        <sz val="10"/>
        <rFont val="Arial"/>
        <family val="2"/>
      </rPr>
      <t>Input C:</t>
    </r>
    <r>
      <rPr>
        <sz val="10"/>
        <rFont val="Arial"/>
        <family val="2"/>
      </rPr>
      <t xml:space="preserve"> Data: 25%, 
</t>
    </r>
    <r>
      <rPr>
        <b/>
        <sz val="10"/>
        <rFont val="Arial"/>
        <family val="2"/>
      </rPr>
      <t>Input D:</t>
    </r>
    <r>
      <rPr>
        <sz val="10"/>
        <rFont val="Arial"/>
        <family val="2"/>
      </rPr>
      <t xml:space="preserve"> Utilities: 67%, 
</t>
    </r>
    <r>
      <rPr>
        <b/>
        <sz val="10"/>
        <rFont val="Arial"/>
        <family val="2"/>
      </rPr>
      <t xml:space="preserve">Input E: </t>
    </r>
    <r>
      <rPr>
        <sz val="10"/>
        <rFont val="Arial"/>
        <family val="2"/>
      </rPr>
      <t>Systems: 40%</t>
    </r>
  </si>
  <si>
    <r>
      <rPr>
        <b/>
        <sz val="10"/>
        <rFont val="Arial"/>
        <family val="2"/>
      </rPr>
      <t xml:space="preserve">Input A: </t>
    </r>
    <r>
      <rPr>
        <sz val="10"/>
        <rFont val="Arial"/>
        <family val="2"/>
      </rPr>
      <t xml:space="preserve">Residents: 68%, 
</t>
    </r>
    <r>
      <rPr>
        <b/>
        <sz val="10"/>
        <rFont val="Arial"/>
        <family val="2"/>
      </rPr>
      <t xml:space="preserve">Input B: </t>
    </r>
    <r>
      <rPr>
        <sz val="10"/>
        <rFont val="Arial"/>
        <family val="2"/>
      </rPr>
      <t xml:space="preserve">Community: 60%, 
</t>
    </r>
    <r>
      <rPr>
        <b/>
        <sz val="10"/>
        <rFont val="Arial"/>
        <family val="2"/>
      </rPr>
      <t xml:space="preserve">Input C: </t>
    </r>
    <r>
      <rPr>
        <sz val="10"/>
        <rFont val="Arial"/>
        <family val="2"/>
      </rPr>
      <t xml:space="preserve">Communication: 70%, 
</t>
    </r>
    <r>
      <rPr>
        <b/>
        <sz val="10"/>
        <rFont val="Arial"/>
        <family val="2"/>
      </rPr>
      <t xml:space="preserve">Input D: </t>
    </r>
    <r>
      <rPr>
        <sz val="10"/>
        <rFont val="Arial"/>
        <family val="2"/>
      </rPr>
      <t xml:space="preserve">Political: 78%, 
</t>
    </r>
    <r>
      <rPr>
        <b/>
        <sz val="10"/>
        <rFont val="Arial"/>
        <family val="2"/>
      </rPr>
      <t>Input E:</t>
    </r>
    <r>
      <rPr>
        <sz val="10"/>
        <rFont val="Arial"/>
        <family val="2"/>
      </rPr>
      <t xml:space="preserve"> Trust: 77%</t>
    </r>
  </si>
  <si>
    <r>
      <rPr>
        <b/>
        <sz val="10"/>
        <rFont val="Arial"/>
        <family val="2"/>
      </rPr>
      <t>Input A:</t>
    </r>
    <r>
      <rPr>
        <sz val="10"/>
        <rFont val="Arial"/>
        <family val="2"/>
      </rPr>
      <t xml:space="preserve"> Net Zero: 75%, 
</t>
    </r>
    <r>
      <rPr>
        <b/>
        <sz val="10"/>
        <rFont val="Arial"/>
        <family val="2"/>
      </rPr>
      <t>Input B:</t>
    </r>
    <r>
      <rPr>
        <sz val="10"/>
        <rFont val="Arial"/>
        <family val="2"/>
      </rPr>
      <t xml:space="preserve"> Carbon: 85%, 
</t>
    </r>
    <r>
      <rPr>
        <b/>
        <sz val="10"/>
        <rFont val="Arial"/>
        <family val="2"/>
      </rPr>
      <t>Input C:</t>
    </r>
    <r>
      <rPr>
        <sz val="10"/>
        <rFont val="Arial"/>
        <family val="2"/>
      </rPr>
      <t xml:space="preserve"> Energy: 68%, 
</t>
    </r>
    <r>
      <rPr>
        <b/>
        <sz val="10"/>
        <rFont val="Arial"/>
        <family val="2"/>
      </rPr>
      <t xml:space="preserve">Input D: </t>
    </r>
    <r>
      <rPr>
        <sz val="10"/>
        <rFont val="Arial"/>
        <family val="2"/>
      </rPr>
      <t xml:space="preserve">Environmental:100%, 
</t>
    </r>
    <r>
      <rPr>
        <b/>
        <sz val="10"/>
        <rFont val="Arial"/>
        <family val="2"/>
      </rPr>
      <t>Input E:</t>
    </r>
    <r>
      <rPr>
        <sz val="10"/>
        <rFont val="Arial"/>
        <family val="2"/>
      </rPr>
      <t xml:space="preserve"> Climate: 38%</t>
    </r>
  </si>
  <si>
    <r>
      <rPr>
        <b/>
        <sz val="10"/>
        <rFont val="Arial"/>
        <family val="2"/>
      </rPr>
      <t xml:space="preserve">Input A: </t>
    </r>
    <r>
      <rPr>
        <sz val="10"/>
        <rFont val="Arial"/>
        <family val="2"/>
      </rPr>
      <t xml:space="preserve">Employment: 96%, 
</t>
    </r>
    <r>
      <rPr>
        <b/>
        <sz val="10"/>
        <rFont val="Arial"/>
        <family val="2"/>
      </rPr>
      <t xml:space="preserve">Input B: </t>
    </r>
    <r>
      <rPr>
        <sz val="10"/>
        <rFont val="Arial"/>
        <family val="2"/>
      </rPr>
      <t xml:space="preserve">Apprenticeships: 78%, 
</t>
    </r>
    <r>
      <rPr>
        <b/>
        <sz val="10"/>
        <rFont val="Arial"/>
        <family val="2"/>
      </rPr>
      <t>Input C:</t>
    </r>
    <r>
      <rPr>
        <sz val="10"/>
        <rFont val="Arial"/>
        <family val="2"/>
      </rPr>
      <t xml:space="preserve"> Procurement: 80%, 
</t>
    </r>
    <r>
      <rPr>
        <b/>
        <sz val="10"/>
        <rFont val="Arial"/>
        <family val="2"/>
      </rPr>
      <t>Input D:</t>
    </r>
    <r>
      <rPr>
        <sz val="10"/>
        <rFont val="Arial"/>
        <family val="2"/>
      </rPr>
      <t xml:space="preserve"> Investment: 75%, 
</t>
    </r>
    <r>
      <rPr>
        <b/>
        <sz val="10"/>
        <rFont val="Arial"/>
        <family val="2"/>
      </rPr>
      <t>Input E:</t>
    </r>
    <r>
      <rPr>
        <sz val="10"/>
        <rFont val="Arial"/>
        <family val="2"/>
      </rPr>
      <t xml:space="preserve"> Skills: 75%</t>
    </r>
  </si>
  <si>
    <t>KRI Components - Programme Risk Indicators with Real Risk Examples</t>
  </si>
  <si>
    <t>Strategic KRI</t>
  </si>
  <si>
    <t>Risk Component Definitions</t>
  </si>
  <si>
    <t>Actual Risk Indicators in Programme</t>
  </si>
  <si>
    <t>Risk Score Calculation</t>
  </si>
  <si>
    <t>KRI Final Calculation</t>
  </si>
  <si>
    <r>
      <t>Budget</t>
    </r>
    <r>
      <rPr>
        <sz val="10"/>
        <rFont val="Arial"/>
        <family val="2"/>
      </rPr>
      <t xml:space="preserve"> = Risk-of-Scheme-Overspends
</t>
    </r>
    <r>
      <rPr>
        <b/>
        <sz val="12"/>
        <color theme="1"/>
        <rFont val="Arial"/>
        <family val="2"/>
      </rPr>
      <t>Cost</t>
    </r>
    <r>
      <rPr>
        <sz val="10"/>
        <rFont val="Arial"/>
        <family val="2"/>
      </rPr>
      <t xml:space="preserve"> = Risk-of-Contractor-Claims
</t>
    </r>
    <r>
      <rPr>
        <b/>
        <sz val="12"/>
        <color theme="1"/>
        <rFont val="Arial"/>
        <family val="2"/>
      </rPr>
      <t>Funding</t>
    </r>
    <r>
      <rPr>
        <sz val="10"/>
        <rFont val="Arial"/>
        <family val="2"/>
      </rPr>
      <t xml:space="preserve"> = Risk-of-Grant-Loss
</t>
    </r>
    <r>
      <rPr>
        <b/>
        <sz val="12"/>
        <color theme="1"/>
        <rFont val="Arial"/>
        <family val="2"/>
      </rPr>
      <t>Revenue</t>
    </r>
    <r>
      <rPr>
        <sz val="10"/>
        <rFont val="Arial"/>
        <family val="2"/>
      </rPr>
      <t xml:space="preserve"> = Risk-of-Income-Shortfall
</t>
    </r>
    <r>
      <rPr>
        <b/>
        <sz val="12"/>
        <color theme="1"/>
        <rFont val="Arial"/>
        <family val="2"/>
      </rPr>
      <t>Market</t>
    </r>
    <r>
      <rPr>
        <sz val="10"/>
        <rFont val="Arial"/>
        <family val="2"/>
      </rPr>
      <t xml:space="preserve"> = Risk-of-Property-Value-Falls</t>
    </r>
  </si>
  <si>
    <r>
      <t>Budget</t>
    </r>
    <r>
      <rPr>
        <sz val="10"/>
        <rFont val="Arial"/>
        <family val="2"/>
      </rPr>
      <t xml:space="preserve"> = 12 of 54 schemes showing budget pressure
</t>
    </r>
    <r>
      <rPr>
        <b/>
        <sz val="12"/>
        <color theme="1"/>
        <rFont val="Arial"/>
        <family val="2"/>
      </rPr>
      <t>Cost</t>
    </r>
    <r>
      <rPr>
        <sz val="10"/>
        <rFont val="Arial"/>
        <family val="2"/>
      </rPr>
      <t xml:space="preserve"> = £2.3M contractor claims across programme
</t>
    </r>
    <r>
      <rPr>
        <b/>
        <sz val="12"/>
        <color theme="1"/>
        <rFont val="Arial"/>
        <family val="2"/>
      </rPr>
      <t>Funding</t>
    </r>
    <r>
      <rPr>
        <sz val="10"/>
        <rFont val="Arial"/>
        <family val="2"/>
      </rPr>
      <t xml:space="preserve"> = £15M GLA grant at risk across pipeline
</t>
    </r>
    <r>
      <rPr>
        <b/>
        <sz val="12"/>
        <color theme="1"/>
        <rFont val="Arial"/>
        <family val="2"/>
      </rPr>
      <t>Revenue</t>
    </r>
    <r>
      <rPr>
        <sz val="10"/>
        <rFont val="Arial"/>
        <family val="2"/>
      </rPr>
      <t xml:space="preserve"> = Programme-wide sales income £8M below forecast
</t>
    </r>
    <r>
      <rPr>
        <b/>
        <sz val="12"/>
        <color theme="1"/>
        <rFont val="Arial"/>
        <family val="2"/>
      </rPr>
      <t>Market</t>
    </r>
    <r>
      <rPr>
        <sz val="10"/>
        <rFont val="Arial"/>
        <family val="2"/>
      </rPr>
      <t xml:space="preserve"> = Property values falling across all sale schemes</t>
    </r>
  </si>
  <si>
    <r>
      <t>KRI Calculation:</t>
    </r>
    <r>
      <rPr>
        <sz val="10"/>
        <rFont val="Arial"/>
        <family val="2"/>
      </rPr>
      <t xml:space="preserve">(78% + 95% + 40% + 60% + 42%) ÷ 5 = 315 ÷ 5 = </t>
    </r>
    <r>
      <rPr>
        <b/>
        <sz val="12"/>
        <color theme="1"/>
        <rFont val="Arial"/>
        <family val="2"/>
      </rPr>
      <t>63%</t>
    </r>
  </si>
  <si>
    <r>
      <t>Staff</t>
    </r>
    <r>
      <rPr>
        <sz val="10"/>
        <rFont val="Arial"/>
        <family val="2"/>
      </rPr>
      <t xml:space="preserve"> = Risk-of-Team-Shortages
</t>
    </r>
    <r>
      <rPr>
        <b/>
        <sz val="12"/>
        <color theme="1"/>
        <rFont val="Arial"/>
        <family val="2"/>
      </rPr>
      <t>Skills</t>
    </r>
    <r>
      <rPr>
        <sz val="10"/>
        <rFont val="Arial"/>
        <family val="2"/>
      </rPr>
      <t xml:space="preserve"> = Risk-of-Critical-Skills-Gaps
</t>
    </r>
    <r>
      <rPr>
        <b/>
        <sz val="12"/>
        <color theme="1"/>
        <rFont val="Arial"/>
        <family val="2"/>
      </rPr>
      <t>Personnel</t>
    </r>
    <r>
      <rPr>
        <sz val="10"/>
        <rFont val="Arial"/>
        <family val="2"/>
      </rPr>
      <t xml:space="preserve"> = Risk-of-Key-Staff-Departures
</t>
    </r>
    <r>
      <rPr>
        <b/>
        <sz val="12"/>
        <color theme="1"/>
        <rFont val="Arial"/>
        <family val="2"/>
      </rPr>
      <t>Specialist</t>
    </r>
    <r>
      <rPr>
        <sz val="10"/>
        <rFont val="Arial"/>
        <family val="2"/>
      </rPr>
      <t xml:space="preserve"> = Risk-of-Expert-Unavailability
</t>
    </r>
    <r>
      <rPr>
        <b/>
        <sz val="12"/>
        <color theme="1"/>
        <rFont val="Arial"/>
        <family val="2"/>
      </rPr>
      <t>Recruitment</t>
    </r>
    <r>
      <rPr>
        <sz val="10"/>
        <rFont val="Arial"/>
        <family val="2"/>
      </rPr>
      <t xml:space="preserve"> = Risk-of-Recruitment-Failures</t>
    </r>
  </si>
  <si>
    <r>
      <t>Staff</t>
    </r>
    <r>
      <rPr>
        <sz val="10"/>
        <rFont val="Arial"/>
        <family val="2"/>
      </rPr>
      <t xml:space="preserve"> = 15 vacant posts across programme teams
</t>
    </r>
    <r>
      <rPr>
        <b/>
        <sz val="12"/>
        <color theme="1"/>
        <rFont val="Arial"/>
        <family val="2"/>
      </rPr>
      <t>Skills</t>
    </r>
    <r>
      <rPr>
        <sz val="10"/>
        <rFont val="Arial"/>
        <family val="2"/>
      </rPr>
      <t xml:space="preserve"> = Fire safety expertise gap affecting 8 schemes
</t>
    </r>
    <r>
      <rPr>
        <b/>
        <sz val="12"/>
        <color theme="1"/>
        <rFont val="Arial"/>
        <family val="2"/>
      </rPr>
      <t>Personnel</t>
    </r>
    <r>
      <rPr>
        <sz val="10"/>
        <rFont val="Arial"/>
        <family val="2"/>
      </rPr>
      <t xml:space="preserve"> = 4 key managers at departure risk
</t>
    </r>
    <r>
      <rPr>
        <b/>
        <sz val="12"/>
        <color theme="1"/>
        <rFont val="Arial"/>
        <family val="2"/>
      </rPr>
      <t>Specialist</t>
    </r>
    <r>
      <rPr>
        <sz val="10"/>
        <rFont val="Arial"/>
        <family val="2"/>
      </rPr>
      <t xml:space="preserve"> = OT/Legal resource gaps affecting pipeline
</t>
    </r>
    <r>
      <rPr>
        <b/>
        <sz val="12"/>
        <color theme="1"/>
        <rFont val="Arial"/>
        <family val="2"/>
      </rPr>
      <t>Recruitment</t>
    </r>
    <r>
      <rPr>
        <sz val="10"/>
        <rFont val="Arial"/>
        <family val="2"/>
      </rPr>
      <t xml:space="preserve"> = 6 senior role recruitment failures</t>
    </r>
  </si>
  <si>
    <r>
      <t>KRI Calculation:</t>
    </r>
    <r>
      <rPr>
        <sz val="10"/>
        <rFont val="Arial"/>
        <family val="2"/>
      </rPr>
      <t xml:space="preserve">(70% + 85% + 67% + 50% + 40%) ÷ 5 = 312 ÷ 5 = </t>
    </r>
    <r>
      <rPr>
        <b/>
        <sz val="12"/>
        <color theme="1"/>
        <rFont val="Arial"/>
        <family val="2"/>
      </rPr>
      <t>62%</t>
    </r>
  </si>
  <si>
    <r>
      <t>Building</t>
    </r>
    <r>
      <rPr>
        <sz val="10"/>
        <rFont val="Arial"/>
        <family val="2"/>
      </rPr>
      <t xml:space="preserve"> = Risk-of-BC-Approval-Delays
</t>
    </r>
    <r>
      <rPr>
        <b/>
        <sz val="12"/>
        <color theme="1"/>
        <rFont val="Arial"/>
        <family val="2"/>
      </rPr>
      <t>Fire</t>
    </r>
    <r>
      <rPr>
        <sz val="10"/>
        <rFont val="Arial"/>
        <family val="2"/>
      </rPr>
      <t xml:space="preserve"> = Risk-of-LFB-Rejections
</t>
    </r>
    <r>
      <rPr>
        <b/>
        <sz val="12"/>
        <color theme="1"/>
        <rFont val="Arial"/>
        <family val="2"/>
      </rPr>
      <t>Safety</t>
    </r>
    <r>
      <rPr>
        <sz val="10"/>
        <rFont val="Arial"/>
        <family val="2"/>
      </rPr>
      <t xml:space="preserve"> = Risk-of-Safety-Non-Compliance
</t>
    </r>
    <r>
      <rPr>
        <b/>
        <sz val="12"/>
        <color theme="1"/>
        <rFont val="Arial"/>
        <family val="2"/>
      </rPr>
      <t>BSA</t>
    </r>
    <r>
      <rPr>
        <sz val="10"/>
        <rFont val="Arial"/>
        <family val="2"/>
      </rPr>
      <t xml:space="preserve"> = Risk-of-Gateway-Failures
</t>
    </r>
    <r>
      <rPr>
        <b/>
        <sz val="12"/>
        <color theme="1"/>
        <rFont val="Arial"/>
        <family val="2"/>
      </rPr>
      <t>Regulatory</t>
    </r>
    <r>
      <rPr>
        <sz val="10"/>
        <rFont val="Arial"/>
        <family val="2"/>
      </rPr>
      <t xml:space="preserve"> = Risk-of-Legal-Breaches</t>
    </r>
  </si>
  <si>
    <r>
      <t>Building</t>
    </r>
    <r>
      <rPr>
        <sz val="10"/>
        <rFont val="Arial"/>
        <family val="2"/>
      </rPr>
      <t xml:space="preserve"> = 18 schemes experiencing BC delays
</t>
    </r>
    <r>
      <rPr>
        <b/>
        <sz val="12"/>
        <color theme="1"/>
        <rFont val="Arial"/>
        <family val="2"/>
      </rPr>
      <t>Fire</t>
    </r>
    <r>
      <rPr>
        <sz val="10"/>
        <rFont val="Arial"/>
        <family val="2"/>
      </rPr>
      <t xml:space="preserve"> = LFB issues across 6 schemes (bike storage)
</t>
    </r>
    <r>
      <rPr>
        <b/>
        <sz val="12"/>
        <color theme="1"/>
        <rFont val="Arial"/>
        <family val="2"/>
      </rPr>
      <t>Safety</t>
    </r>
    <r>
      <rPr>
        <sz val="10"/>
        <rFont val="Arial"/>
        <family val="2"/>
      </rPr>
      <t xml:space="preserve"> = Lightning protection gaps on 7 buildings
</t>
    </r>
    <r>
      <rPr>
        <b/>
        <sz val="12"/>
        <color theme="1"/>
        <rFont val="Arial"/>
        <family val="2"/>
      </rPr>
      <t>BSA</t>
    </r>
    <r>
      <rPr>
        <sz val="10"/>
        <rFont val="Arial"/>
        <family val="2"/>
      </rPr>
      <t xml:space="preserve"> = 9 schemes at Gateway risk (18m+ height)
</t>
    </r>
    <r>
      <rPr>
        <b/>
        <sz val="12"/>
        <color theme="1"/>
        <rFont val="Arial"/>
        <family val="2"/>
      </rPr>
      <t>Regulatory</t>
    </r>
    <r>
      <rPr>
        <sz val="10"/>
        <rFont val="Arial"/>
        <family val="2"/>
      </rPr>
      <t xml:space="preserve"> = PCR compliance risk across procurement</t>
    </r>
  </si>
  <si>
    <r>
      <t>KRI Calculation:</t>
    </r>
    <r>
      <rPr>
        <sz val="10"/>
        <rFont val="Arial"/>
        <family val="2"/>
      </rPr>
      <t xml:space="preserve">(67% + 70% + 72% + 40% + 45%) ÷ 5 = 294 ÷ 5 = </t>
    </r>
    <r>
      <rPr>
        <b/>
        <sz val="12"/>
        <color theme="1"/>
        <rFont val="Arial"/>
        <family val="2"/>
      </rPr>
      <t>59%</t>
    </r>
  </si>
  <si>
    <r>
      <t>Schedule</t>
    </r>
    <r>
      <rPr>
        <sz val="10"/>
        <rFont val="Arial"/>
        <family val="2"/>
      </rPr>
      <t xml:space="preserve"> = Risk-of-Project-Delays
</t>
    </r>
    <r>
      <rPr>
        <b/>
        <sz val="12"/>
        <color theme="1"/>
        <rFont val="Arial"/>
        <family val="2"/>
      </rPr>
      <t>Quality</t>
    </r>
    <r>
      <rPr>
        <sz val="10"/>
        <rFont val="Arial"/>
        <family val="2"/>
      </rPr>
      <t xml:space="preserve"> = Risk-of-Defects-Post-Completion
</t>
    </r>
    <r>
      <rPr>
        <b/>
        <sz val="12"/>
        <color theme="1"/>
        <rFont val="Arial"/>
        <family val="2"/>
      </rPr>
      <t>Contractor</t>
    </r>
    <r>
      <rPr>
        <sz val="10"/>
        <rFont val="Arial"/>
        <family val="2"/>
      </rPr>
      <t xml:space="preserve"> = Risk-of-Contractor-Disputes
</t>
    </r>
    <r>
      <rPr>
        <b/>
        <sz val="12"/>
        <color theme="1"/>
        <rFont val="Arial"/>
        <family val="2"/>
      </rPr>
      <t>Pipeline</t>
    </r>
    <r>
      <rPr>
        <sz val="10"/>
        <rFont val="Arial"/>
        <family val="2"/>
      </rPr>
      <t xml:space="preserve"> = Risk-of-Schemes-Not-Starting
</t>
    </r>
    <r>
      <rPr>
        <b/>
        <sz val="12"/>
        <color theme="1"/>
        <rFont val="Arial"/>
        <family val="2"/>
      </rPr>
      <t>Handover</t>
    </r>
    <r>
      <rPr>
        <sz val="10"/>
        <rFont val="Arial"/>
        <family val="2"/>
      </rPr>
      <t xml:space="preserve"> = Risk-of-PC-Failures</t>
    </r>
  </si>
  <si>
    <r>
      <t>Schedule</t>
    </r>
    <r>
      <rPr>
        <sz val="10"/>
        <rFont val="Arial"/>
        <family val="2"/>
      </rPr>
      <t xml:space="preserve"> = 14 active schemes behind programme
</t>
    </r>
    <r>
      <rPr>
        <b/>
        <sz val="12"/>
        <color theme="1"/>
        <rFont val="Arial"/>
        <family val="2"/>
      </rPr>
      <t>Quality</t>
    </r>
    <r>
      <rPr>
        <sz val="10"/>
        <rFont val="Arial"/>
        <family val="2"/>
      </rPr>
      <t xml:space="preserve"> = Defect rates rising across completions
</t>
    </r>
    <r>
      <rPr>
        <b/>
        <sz val="12"/>
        <color theme="1"/>
        <rFont val="Arial"/>
        <family val="2"/>
      </rPr>
      <t>Contractor</t>
    </r>
    <r>
      <rPr>
        <sz val="10"/>
        <rFont val="Arial"/>
        <family val="2"/>
      </rPr>
      <t xml:space="preserve"> = 8 contractors in active disputes
</t>
    </r>
    <r>
      <rPr>
        <b/>
        <sz val="12"/>
        <color theme="1"/>
        <rFont val="Arial"/>
        <family val="2"/>
      </rPr>
      <t>Pipeline</t>
    </r>
    <r>
      <rPr>
        <sz val="10"/>
        <rFont val="Arial"/>
        <family val="2"/>
      </rPr>
      <t xml:space="preserve"> = 5 future schemes not ready to start
</t>
    </r>
    <r>
      <rPr>
        <b/>
        <sz val="12"/>
        <color theme="1"/>
        <rFont val="Arial"/>
        <family val="2"/>
      </rPr>
      <t>Handover</t>
    </r>
    <r>
      <rPr>
        <sz val="10"/>
        <rFont val="Arial"/>
        <family val="2"/>
      </rPr>
      <t xml:space="preserve"> = PC delays affecting void periods</t>
    </r>
  </si>
  <si>
    <r>
      <t>KRI Calculation:</t>
    </r>
    <r>
      <rPr>
        <sz val="10"/>
        <rFont val="Arial"/>
        <family val="2"/>
      </rPr>
      <t xml:space="preserve">(53% + 47% + 33% + 50% + 70%) ÷ 5 = 253 ÷ 5 = </t>
    </r>
    <r>
      <rPr>
        <b/>
        <sz val="12"/>
        <color theme="1"/>
        <rFont val="Arial"/>
        <family val="2"/>
      </rPr>
      <t>51%</t>
    </r>
  </si>
  <si>
    <r>
      <t>Corporate</t>
    </r>
    <r>
      <rPr>
        <sz val="10"/>
        <rFont val="Arial"/>
        <family val="2"/>
      </rPr>
      <t xml:space="preserve"> = Risk-of-Missing-Plan-Targets
</t>
    </r>
    <r>
      <rPr>
        <b/>
        <sz val="12"/>
        <color theme="1"/>
        <rFont val="Arial"/>
        <family val="2"/>
      </rPr>
      <t>Housing</t>
    </r>
    <r>
      <rPr>
        <sz val="10"/>
        <rFont val="Arial"/>
        <family val="2"/>
      </rPr>
      <t xml:space="preserve"> = Risk-of-Homes-Target-Failure
</t>
    </r>
    <r>
      <rPr>
        <b/>
        <sz val="12"/>
        <color theme="1"/>
        <rFont val="Arial"/>
        <family val="2"/>
      </rPr>
      <t>Policy</t>
    </r>
    <r>
      <rPr>
        <sz val="10"/>
        <rFont val="Arial"/>
        <family val="2"/>
      </rPr>
      <t xml:space="preserve"> = Risk-of-Slow-Policy-Adaptation
</t>
    </r>
    <r>
      <rPr>
        <b/>
        <sz val="12"/>
        <color theme="1"/>
        <rFont val="Arial"/>
        <family val="2"/>
      </rPr>
      <t>Estate</t>
    </r>
    <r>
      <rPr>
        <sz val="10"/>
        <rFont val="Arial"/>
        <family val="2"/>
      </rPr>
      <t xml:space="preserve"> = Risk-of-Buyback-Delays
</t>
    </r>
    <r>
      <rPr>
        <b/>
        <sz val="12"/>
        <color theme="1"/>
        <rFont val="Arial"/>
        <family val="2"/>
      </rPr>
      <t>Political</t>
    </r>
    <r>
      <rPr>
        <sz val="10"/>
        <rFont val="Arial"/>
        <family val="2"/>
      </rPr>
      <t xml:space="preserve"> = Risk-of-Political-Support-Loss</t>
    </r>
  </si>
  <si>
    <r>
      <t>Corporate</t>
    </r>
    <r>
      <rPr>
        <sz val="10"/>
        <rFont val="Arial"/>
        <family val="2"/>
      </rPr>
      <t xml:space="preserve"> = Programme 25% behind Corporate Plan
</t>
    </r>
    <r>
      <rPr>
        <b/>
        <sz val="12"/>
        <color theme="1"/>
        <rFont val="Arial"/>
        <family val="2"/>
      </rPr>
      <t>Housing</t>
    </r>
    <r>
      <rPr>
        <sz val="10"/>
        <rFont val="Arial"/>
        <family val="2"/>
      </rPr>
      <t xml:space="preserve"> = Annual target shortfall across pipeline
</t>
    </r>
    <r>
      <rPr>
        <b/>
        <sz val="12"/>
        <color theme="1"/>
        <rFont val="Arial"/>
        <family val="2"/>
      </rPr>
      <t>Policy</t>
    </r>
    <r>
      <rPr>
        <sz val="10"/>
        <rFont val="Arial"/>
        <family val="2"/>
      </rPr>
      <t xml:space="preserve"> = BSA changes affecting multiple schemes
</t>
    </r>
    <r>
      <rPr>
        <b/>
        <sz val="12"/>
        <color theme="1"/>
        <rFont val="Arial"/>
        <family val="2"/>
      </rPr>
      <t>Estate</t>
    </r>
    <r>
      <rPr>
        <sz val="10"/>
        <rFont val="Arial"/>
        <family val="2"/>
      </rPr>
      <t xml:space="preserve"> = Estate renewal delays on 3 major sites
</t>
    </r>
    <r>
      <rPr>
        <b/>
        <sz val="12"/>
        <color theme="1"/>
        <rFont val="Arial"/>
        <family val="2"/>
      </rPr>
      <t>Political</t>
    </r>
    <r>
      <rPr>
        <sz val="10"/>
        <rFont val="Arial"/>
        <family val="2"/>
      </rPr>
      <t xml:space="preserve"> = Cabinet support concerns emerging</t>
    </r>
  </si>
  <si>
    <r>
      <t>KRI Calculation:</t>
    </r>
    <r>
      <rPr>
        <sz val="10"/>
        <rFont val="Arial"/>
        <family val="2"/>
      </rPr>
      <t xml:space="preserve">(75% + 75% + 33% + 40% + 70%) ÷ 5 = 293 ÷ 5 = </t>
    </r>
    <r>
      <rPr>
        <b/>
        <sz val="12"/>
        <color theme="1"/>
        <rFont val="Arial"/>
        <family val="2"/>
      </rPr>
      <t>59%</t>
    </r>
  </si>
  <si>
    <r>
      <t>Design</t>
    </r>
    <r>
      <rPr>
        <sz val="10"/>
        <rFont val="Arial"/>
        <family val="2"/>
      </rPr>
      <t xml:space="preserve"> = Risk-of-Design-Changes
</t>
    </r>
    <r>
      <rPr>
        <b/>
        <sz val="12"/>
        <color theme="1"/>
        <rFont val="Arial"/>
        <family val="2"/>
      </rPr>
      <t>Infrastructure</t>
    </r>
    <r>
      <rPr>
        <sz val="10"/>
        <rFont val="Arial"/>
        <family val="2"/>
      </rPr>
      <t xml:space="preserve"> = Risk-of-S278-Delays
</t>
    </r>
    <r>
      <rPr>
        <b/>
        <sz val="12"/>
        <color theme="1"/>
        <rFont val="Arial"/>
        <family val="2"/>
      </rPr>
      <t>Data</t>
    </r>
    <r>
      <rPr>
        <sz val="10"/>
        <rFont val="Arial"/>
        <family val="2"/>
      </rPr>
      <t xml:space="preserve"> = Risk-of-Inaccurate-Project-Data
</t>
    </r>
    <r>
      <rPr>
        <b/>
        <sz val="12"/>
        <color theme="1"/>
        <rFont val="Arial"/>
        <family val="2"/>
      </rPr>
      <t>Utilities</t>
    </r>
    <r>
      <rPr>
        <sz val="10"/>
        <rFont val="Arial"/>
        <family val="2"/>
      </rPr>
      <t xml:space="preserve"> = Risk-of-Connection-Delays
</t>
    </r>
    <r>
      <rPr>
        <b/>
        <sz val="12"/>
        <color theme="1"/>
        <rFont val="Arial"/>
        <family val="2"/>
      </rPr>
      <t>Systems</t>
    </r>
    <r>
      <rPr>
        <sz val="10"/>
        <rFont val="Arial"/>
        <family val="2"/>
      </rPr>
      <t xml:space="preserve"> = Risk-of-System-Integration-Failure</t>
    </r>
  </si>
  <si>
    <r>
      <t>Design</t>
    </r>
    <r>
      <rPr>
        <sz val="10"/>
        <rFont val="Arial"/>
        <family val="2"/>
      </rPr>
      <t xml:space="preserve"> = Design changes impacting 11 schemes
</t>
    </r>
    <r>
      <rPr>
        <b/>
        <sz val="12"/>
        <color theme="1"/>
        <rFont val="Arial"/>
        <family val="2"/>
      </rPr>
      <t>Infrastructure</t>
    </r>
    <r>
      <rPr>
        <sz val="10"/>
        <rFont val="Arial"/>
        <family val="2"/>
      </rPr>
      <t xml:space="preserve"> = S278 delays across multiple sites
</t>
    </r>
    <r>
      <rPr>
        <b/>
        <sz val="12"/>
        <color theme="1"/>
        <rFont val="Arial"/>
        <family val="2"/>
      </rPr>
      <t>Data</t>
    </r>
    <r>
      <rPr>
        <sz val="10"/>
        <rFont val="Arial"/>
        <family val="2"/>
      </rPr>
      <t xml:space="preserve"> = Data quality issues affecting reporting
</t>
    </r>
    <r>
      <rPr>
        <b/>
        <sz val="12"/>
        <color theme="1"/>
        <rFont val="Arial"/>
        <family val="2"/>
      </rPr>
      <t>Utilities</t>
    </r>
    <r>
      <rPr>
        <sz val="10"/>
        <rFont val="Arial"/>
        <family val="2"/>
      </rPr>
      <t xml:space="preserve"> = SELCHP/utilities coordination risks
</t>
    </r>
    <r>
      <rPr>
        <b/>
        <sz val="12"/>
        <color theme="1"/>
        <rFont val="Arial"/>
        <family val="2"/>
      </rPr>
      <t>Systems</t>
    </r>
    <r>
      <rPr>
        <sz val="10"/>
        <rFont val="Arial"/>
        <family val="2"/>
      </rPr>
      <t xml:space="preserve"> = SIB processes undefined programme-wide</t>
    </r>
  </si>
  <si>
    <r>
      <t>KRI Calculation:</t>
    </r>
    <r>
      <rPr>
        <sz val="10"/>
        <rFont val="Arial"/>
        <family val="2"/>
      </rPr>
      <t xml:space="preserve">(80% + 67% + 25% + 67% + 40%) ÷ 5 = 279 ÷ 5 = </t>
    </r>
    <r>
      <rPr>
        <b/>
        <sz val="12"/>
        <color theme="1"/>
        <rFont val="Arial"/>
        <family val="2"/>
      </rPr>
      <t>56%</t>
    </r>
  </si>
  <si>
    <r>
      <t>Resident</t>
    </r>
    <r>
      <rPr>
        <sz val="10"/>
        <rFont val="Arial"/>
        <family val="2"/>
      </rPr>
      <t xml:space="preserve"> = Risk-of-Low-Satisfaction
</t>
    </r>
    <r>
      <rPr>
        <b/>
        <sz val="12"/>
        <color theme="1"/>
        <rFont val="Arial"/>
        <family val="2"/>
      </rPr>
      <t>Community</t>
    </r>
    <r>
      <rPr>
        <sz val="10"/>
        <rFont val="Arial"/>
        <family val="2"/>
      </rPr>
      <t xml:space="preserve"> = Risk-of-Community-Opposition
</t>
    </r>
    <r>
      <rPr>
        <b/>
        <sz val="12"/>
        <color theme="1"/>
        <rFont val="Arial"/>
        <family val="2"/>
      </rPr>
      <t>Communication</t>
    </r>
    <r>
      <rPr>
        <sz val="10"/>
        <rFont val="Arial"/>
        <family val="2"/>
      </rPr>
      <t xml:space="preserve"> = Risk-of-Communication-Failures
</t>
    </r>
    <r>
      <rPr>
        <b/>
        <sz val="12"/>
        <color theme="1"/>
        <rFont val="Arial"/>
        <family val="2"/>
      </rPr>
      <t>Political</t>
    </r>
    <r>
      <rPr>
        <sz val="10"/>
        <rFont val="Arial"/>
        <family val="2"/>
      </rPr>
      <t xml:space="preserve"> = Risk-of-Political-Confidence-Loss
</t>
    </r>
    <r>
      <rPr>
        <b/>
        <sz val="12"/>
        <color theme="1"/>
        <rFont val="Arial"/>
        <family val="2"/>
      </rPr>
      <t>Trust</t>
    </r>
    <r>
      <rPr>
        <sz val="10"/>
        <rFont val="Arial"/>
        <family val="2"/>
      </rPr>
      <t xml:space="preserve"> = Risk-of-Stakeholder-Trust-Erosion</t>
    </r>
  </si>
  <si>
    <r>
      <t>Resident</t>
    </r>
    <r>
      <rPr>
        <sz val="10"/>
        <rFont val="Arial"/>
        <family val="2"/>
      </rPr>
      <t xml:space="preserve"> = Satisfaction declining across completions
</t>
    </r>
    <r>
      <rPr>
        <b/>
        <sz val="12"/>
        <color theme="1"/>
        <rFont val="Arial"/>
        <family val="2"/>
      </rPr>
      <t>Community</t>
    </r>
    <r>
      <rPr>
        <sz val="10"/>
        <rFont val="Arial"/>
        <family val="2"/>
      </rPr>
      <t xml:space="preserve"> = Opposition emerging on 4 schemes
</t>
    </r>
    <r>
      <rPr>
        <b/>
        <sz val="12"/>
        <color theme="1"/>
        <rFont val="Arial"/>
        <family val="2"/>
      </rPr>
      <t>Communication</t>
    </r>
    <r>
      <rPr>
        <sz val="10"/>
        <rFont val="Arial"/>
        <family val="2"/>
      </rPr>
      <t xml:space="preserve"> = Programme communication gaps
</t>
    </r>
    <r>
      <rPr>
        <b/>
        <sz val="12"/>
        <color theme="1"/>
        <rFont val="Arial"/>
        <family val="2"/>
      </rPr>
      <t>Political</t>
    </r>
    <r>
      <rPr>
        <sz val="10"/>
        <rFont val="Arial"/>
        <family val="2"/>
      </rPr>
      <t xml:space="preserve"> = Political confidence trending down
</t>
    </r>
    <r>
      <rPr>
        <b/>
        <sz val="12"/>
        <color theme="1"/>
        <rFont val="Arial"/>
        <family val="2"/>
      </rPr>
      <t>Trust</t>
    </r>
    <r>
      <rPr>
        <sz val="10"/>
        <rFont val="Arial"/>
        <family val="2"/>
      </rPr>
      <t xml:space="preserve"> = External stakeholder concerns rising</t>
    </r>
  </si>
  <si>
    <r>
      <t>KRI Calculation:</t>
    </r>
    <r>
      <rPr>
        <sz val="10"/>
        <rFont val="Arial"/>
        <family val="2"/>
      </rPr>
      <t xml:space="preserve">(68% + 60% + 70% + 78% + 77%) ÷ 5 = 353 ÷ 5 = </t>
    </r>
    <r>
      <rPr>
        <b/>
        <sz val="12"/>
        <color theme="1"/>
        <rFont val="Arial"/>
        <family val="2"/>
      </rPr>
      <t>71%</t>
    </r>
  </si>
  <si>
    <r>
      <t>Contractor</t>
    </r>
    <r>
      <rPr>
        <sz val="10"/>
        <rFont val="Arial"/>
        <family val="2"/>
      </rPr>
      <t xml:space="preserve"> = Risk-of-Contractor-Financial-Failure
</t>
    </r>
    <r>
      <rPr>
        <b/>
        <sz val="12"/>
        <color theme="1"/>
        <rFont val="Arial"/>
        <family val="2"/>
      </rPr>
      <t>Material</t>
    </r>
    <r>
      <rPr>
        <sz val="10"/>
        <rFont val="Arial"/>
        <family val="2"/>
      </rPr>
      <t xml:space="preserve"> = Risk-of-Material-Price-Escalation
</t>
    </r>
    <r>
      <rPr>
        <b/>
        <sz val="12"/>
        <color theme="1"/>
        <rFont val="Arial"/>
        <family val="2"/>
      </rPr>
      <t>Safety</t>
    </r>
    <r>
      <rPr>
        <sz val="10"/>
        <rFont val="Arial"/>
        <family val="2"/>
      </rPr>
      <t xml:space="preserve"> = Risk-of-Safety-Incidents
</t>
    </r>
    <r>
      <rPr>
        <b/>
        <sz val="12"/>
        <color theme="1"/>
        <rFont val="Arial"/>
        <family val="2"/>
      </rPr>
      <t>Quality</t>
    </r>
    <r>
      <rPr>
        <sz val="10"/>
        <rFont val="Arial"/>
        <family val="2"/>
      </rPr>
      <t xml:space="preserve"> = Risk-of-Quality-Standard-Failures
</t>
    </r>
    <r>
      <rPr>
        <b/>
        <sz val="12"/>
        <color theme="1"/>
        <rFont val="Arial"/>
        <family val="2"/>
      </rPr>
      <t>Risk</t>
    </r>
    <r>
      <rPr>
        <sz val="10"/>
        <rFont val="Arial"/>
        <family val="2"/>
      </rPr>
      <t xml:space="preserve"> = Risk-of-Unmitigated-Safety-Hazards</t>
    </r>
  </si>
  <si>
    <r>
      <t>Contractor</t>
    </r>
    <r>
      <rPr>
        <sz val="10"/>
        <rFont val="Arial"/>
        <family val="2"/>
      </rPr>
      <t xml:space="preserve"> = 2 contractors showing financial stress
</t>
    </r>
    <r>
      <rPr>
        <b/>
        <sz val="12"/>
        <color theme="1"/>
        <rFont val="Arial"/>
        <family val="2"/>
      </rPr>
      <t>Material</t>
    </r>
    <r>
      <rPr>
        <sz val="10"/>
        <rFont val="Arial"/>
        <family val="2"/>
      </rPr>
      <t xml:space="preserve"> = Material price pressures programme-wide
</t>
    </r>
    <r>
      <rPr>
        <b/>
        <sz val="12"/>
        <color theme="1"/>
        <rFont val="Arial"/>
        <family val="2"/>
      </rPr>
      <t>Safety</t>
    </r>
    <r>
      <rPr>
        <sz val="10"/>
        <rFont val="Arial"/>
        <family val="2"/>
      </rPr>
      <t xml:space="preserve"> = Safety performance stable across sites
</t>
    </r>
    <r>
      <rPr>
        <b/>
        <sz val="12"/>
        <color theme="1"/>
        <rFont val="Arial"/>
        <family val="2"/>
      </rPr>
      <t>Quality</t>
    </r>
    <r>
      <rPr>
        <sz val="10"/>
        <rFont val="Arial"/>
        <family val="2"/>
      </rPr>
      <t xml:space="preserve"> = Quality standards maintained overall
</t>
    </r>
    <r>
      <rPr>
        <b/>
        <sz val="12"/>
        <color theme="1"/>
        <rFont val="Arial"/>
        <family val="2"/>
      </rPr>
      <t>Risk</t>
    </r>
    <r>
      <rPr>
        <sz val="10"/>
        <rFont val="Arial"/>
        <family val="2"/>
      </rPr>
      <t xml:space="preserve"> = Safety risk management functioning</t>
    </r>
  </si>
  <si>
    <r>
      <t>KRI Calculation:</t>
    </r>
    <r>
      <rPr>
        <sz val="10"/>
        <rFont val="Arial"/>
        <family val="2"/>
      </rPr>
      <t xml:space="preserve">(83% + 65% + 96% + 95% + 75%) ÷ 5 = 414 ÷ 5 = </t>
    </r>
    <r>
      <rPr>
        <b/>
        <sz val="12"/>
        <color theme="1"/>
        <rFont val="Arial"/>
        <family val="2"/>
      </rPr>
      <t>83%</t>
    </r>
  </si>
  <si>
    <r>
      <t>Net</t>
    </r>
    <r>
      <rPr>
        <sz val="10"/>
        <rFont val="Arial"/>
        <family val="2"/>
      </rPr>
      <t xml:space="preserve"> = Risk-of-Missing-Net-Zero-Targets
</t>
    </r>
    <r>
      <rPr>
        <b/>
        <sz val="12"/>
        <color theme="1"/>
        <rFont val="Arial"/>
        <family val="2"/>
      </rPr>
      <t>Carbon</t>
    </r>
    <r>
      <rPr>
        <sz val="10"/>
        <rFont val="Arial"/>
        <family val="2"/>
      </rPr>
      <t xml:space="preserve"> = Risk-of-Carbon-Target-Breach
</t>
    </r>
    <r>
      <rPr>
        <b/>
        <sz val="12"/>
        <color theme="1"/>
        <rFont val="Arial"/>
        <family val="2"/>
      </rPr>
      <t>Energy</t>
    </r>
    <r>
      <rPr>
        <sz val="10"/>
        <rFont val="Arial"/>
        <family val="2"/>
      </rPr>
      <t xml:space="preserve"> = Risk-of-Energy-Efficiency-Failure
</t>
    </r>
    <r>
      <rPr>
        <b/>
        <sz val="12"/>
        <color theme="1"/>
        <rFont val="Arial"/>
        <family val="2"/>
      </rPr>
      <t>Environmental</t>
    </r>
    <r>
      <rPr>
        <sz val="10"/>
        <rFont val="Arial"/>
        <family val="2"/>
      </rPr>
      <t xml:space="preserve"> = Risk-of-Environmental-Breaches
</t>
    </r>
    <r>
      <rPr>
        <b/>
        <sz val="12"/>
        <color theme="1"/>
        <rFont val="Arial"/>
        <family val="2"/>
      </rPr>
      <t>Climate</t>
    </r>
    <r>
      <rPr>
        <sz val="10"/>
        <rFont val="Arial"/>
        <family val="2"/>
      </rPr>
      <t xml:space="preserve"> = Risk-of-Climate-Impact-Unaddressed</t>
    </r>
  </si>
  <si>
    <r>
      <t>Net</t>
    </r>
    <r>
      <rPr>
        <sz val="10"/>
        <rFont val="Arial"/>
        <family val="2"/>
      </rPr>
      <t xml:space="preserve"> = Net zero trajectory risk across pipeline
</t>
    </r>
    <r>
      <rPr>
        <b/>
        <sz val="12"/>
        <color theme="1"/>
        <rFont val="Arial"/>
        <family val="2"/>
      </rPr>
      <t>Carbon</t>
    </r>
    <r>
      <rPr>
        <sz val="10"/>
        <rFont val="Arial"/>
        <family val="2"/>
      </rPr>
      <t xml:space="preserve"> = Carbon targets pressure on new schemes
</t>
    </r>
    <r>
      <rPr>
        <b/>
        <sz val="12"/>
        <color theme="1"/>
        <rFont val="Arial"/>
        <family val="2"/>
      </rPr>
      <t>Energy</t>
    </r>
    <r>
      <rPr>
        <sz val="10"/>
        <rFont val="Arial"/>
        <family val="2"/>
      </rPr>
      <t xml:space="preserve"> = Energy efficiency challenges emerging
</t>
    </r>
    <r>
      <rPr>
        <b/>
        <sz val="12"/>
        <color theme="1"/>
        <rFont val="Arial"/>
        <family val="2"/>
      </rPr>
      <t>Environmental</t>
    </r>
    <r>
      <rPr>
        <sz val="10"/>
        <rFont val="Arial"/>
        <family val="2"/>
      </rPr>
      <t xml:space="preserve"> = Environmental compliance maintained
</t>
    </r>
    <r>
      <rPr>
        <b/>
        <sz val="12"/>
        <color theme="1"/>
        <rFont val="Arial"/>
        <family val="2"/>
      </rPr>
      <t>Climate</t>
    </r>
    <r>
      <rPr>
        <sz val="10"/>
        <rFont val="Arial"/>
        <family val="2"/>
      </rPr>
      <t xml:space="preserve"> = Climate resilience planning gaps</t>
    </r>
  </si>
  <si>
    <r>
      <t>KRI Calculation:</t>
    </r>
    <r>
      <rPr>
        <sz val="10"/>
        <rFont val="Arial"/>
        <family val="2"/>
      </rPr>
      <t xml:space="preserve">(75% + 85% + 68% + 100% + 38%) ÷ 5 = 366 ÷ 5 = </t>
    </r>
    <r>
      <rPr>
        <b/>
        <sz val="12"/>
        <color theme="1"/>
        <rFont val="Arial"/>
        <family val="2"/>
      </rPr>
      <t>73%</t>
    </r>
  </si>
  <si>
    <r>
      <t>Employment</t>
    </r>
    <r>
      <rPr>
        <sz val="10"/>
        <rFont val="Arial"/>
        <family val="2"/>
      </rPr>
      <t xml:space="preserve"> = Risk-of-Job-Creation-Shortfall
</t>
    </r>
    <r>
      <rPr>
        <b/>
        <sz val="12"/>
        <color theme="1"/>
        <rFont val="Arial"/>
        <family val="2"/>
      </rPr>
      <t>Apprenticeships</t>
    </r>
    <r>
      <rPr>
        <sz val="10"/>
        <rFont val="Arial"/>
        <family val="2"/>
      </rPr>
      <t xml:space="preserve"> = Risk-of-Apprentice-Target-Miss
</t>
    </r>
    <r>
      <rPr>
        <b/>
        <sz val="12"/>
        <color theme="1"/>
        <rFont val="Arial"/>
        <family val="2"/>
      </rPr>
      <t>Local</t>
    </r>
    <r>
      <rPr>
        <sz val="10"/>
        <rFont val="Arial"/>
        <family val="2"/>
      </rPr>
      <t xml:space="preserve"> = Risk-of-Local-Procurement-Failure
</t>
    </r>
    <r>
      <rPr>
        <b/>
        <sz val="12"/>
        <color theme="1"/>
        <rFont val="Arial"/>
        <family val="2"/>
      </rPr>
      <t>Community</t>
    </r>
    <r>
      <rPr>
        <sz val="10"/>
        <rFont val="Arial"/>
        <family val="2"/>
      </rPr>
      <t xml:space="preserve"> = Risk-of-S106-Spend-Delays
</t>
    </r>
    <r>
      <rPr>
        <b/>
        <sz val="12"/>
        <color theme="1"/>
        <rFont val="Arial"/>
        <family val="2"/>
      </rPr>
      <t>Skills</t>
    </r>
    <r>
      <rPr>
        <sz val="10"/>
        <rFont val="Arial"/>
        <family val="2"/>
      </rPr>
      <t xml:space="preserve"> = Risk-of-Skills-Program-Delays</t>
    </r>
  </si>
  <si>
    <r>
      <t>Employment</t>
    </r>
    <r>
      <rPr>
        <sz val="10"/>
        <rFont val="Arial"/>
        <family val="2"/>
      </rPr>
      <t xml:space="preserve"> = Job creation targets at risk programme-wide
</t>
    </r>
    <r>
      <rPr>
        <b/>
        <sz val="12"/>
        <color theme="1"/>
        <rFont val="Arial"/>
        <family val="2"/>
      </rPr>
      <t>Apprenticeships</t>
    </r>
    <r>
      <rPr>
        <sz val="10"/>
        <rFont val="Arial"/>
        <family val="2"/>
      </rPr>
      <t xml:space="preserve"> = Apprentice delivery gaps emerging
</t>
    </r>
    <r>
      <rPr>
        <b/>
        <sz val="12"/>
        <color theme="1"/>
        <rFont val="Arial"/>
        <family val="2"/>
      </rPr>
      <t>Local</t>
    </r>
    <r>
      <rPr>
        <sz val="10"/>
        <rFont val="Arial"/>
        <family val="2"/>
      </rPr>
      <t xml:space="preserve"> = Local procurement targets under pressure
</t>
    </r>
    <r>
      <rPr>
        <b/>
        <sz val="12"/>
        <color theme="1"/>
        <rFont val="Arial"/>
        <family val="2"/>
      </rPr>
      <t>Community</t>
    </r>
    <r>
      <rPr>
        <sz val="10"/>
        <rFont val="Arial"/>
        <family val="2"/>
      </rPr>
      <t xml:space="preserve"> = S106 spend coordination challenges
</t>
    </r>
    <r>
      <rPr>
        <b/>
        <sz val="12"/>
        <color theme="1"/>
        <rFont val="Arial"/>
        <family val="2"/>
      </rPr>
      <t>Skills</t>
    </r>
    <r>
      <rPr>
        <sz val="10"/>
        <rFont val="Arial"/>
        <family val="2"/>
      </rPr>
      <t xml:space="preserve"> = Skills program delivery risks</t>
    </r>
  </si>
  <si>
    <r>
      <t>KRI Calculation:</t>
    </r>
    <r>
      <rPr>
        <sz val="10"/>
        <rFont val="Arial"/>
        <family val="2"/>
      </rPr>
      <t xml:space="preserve">(95% + 78% + 80% + 75% + 75%) ÷ 5 = 403 ÷ 5 = </t>
    </r>
    <r>
      <rPr>
        <b/>
        <sz val="12"/>
        <color theme="1"/>
        <rFont val="Arial"/>
        <family val="2"/>
      </rPr>
      <t>81%</t>
    </r>
  </si>
  <si>
    <r>
      <rPr>
        <b/>
        <sz val="10"/>
        <rFont val="Arial"/>
        <family val="2"/>
      </rPr>
      <t xml:space="preserve">Staff: </t>
    </r>
    <r>
      <rPr>
        <sz val="10"/>
        <rFont val="Arial"/>
        <family val="2"/>
      </rPr>
      <t xml:space="preserve">15/50 = 30% vacant = 70% score
</t>
    </r>
    <r>
      <rPr>
        <b/>
        <sz val="10"/>
        <rFont val="Arial"/>
        <family val="2"/>
      </rPr>
      <t xml:space="preserve">Skills: </t>
    </r>
    <r>
      <rPr>
        <sz val="10"/>
        <rFont val="Arial"/>
        <family val="2"/>
      </rPr>
      <t xml:space="preserve">8/54 = 15% affected = 85% score
</t>
    </r>
    <r>
      <rPr>
        <b/>
        <sz val="10"/>
        <rFont val="Arial"/>
        <family val="2"/>
      </rPr>
      <t xml:space="preserve">Personnel: </t>
    </r>
    <r>
      <rPr>
        <sz val="10"/>
        <rFont val="Arial"/>
        <family val="2"/>
      </rPr>
      <t xml:space="preserve">4/12 = 33% at risk = 67% score
</t>
    </r>
    <r>
      <rPr>
        <b/>
        <sz val="10"/>
        <rFont val="Arial"/>
        <family val="2"/>
      </rPr>
      <t>Specialist:</t>
    </r>
    <r>
      <rPr>
        <sz val="10"/>
        <rFont val="Arial"/>
        <family val="2"/>
      </rPr>
      <t xml:space="preserve"> 6 weeks wait = 50% score
Recruitment: 6/10 = 60% failure = 40% score</t>
    </r>
  </si>
  <si>
    <r>
      <rPr>
        <b/>
        <sz val="10"/>
        <rFont val="Arial"/>
        <family val="2"/>
      </rPr>
      <t>Building:</t>
    </r>
    <r>
      <rPr>
        <sz val="10"/>
        <rFont val="Arial"/>
        <family val="2"/>
      </rPr>
      <t xml:space="preserve"> 18/54 = 33% delayed = 67% score
</t>
    </r>
    <r>
      <rPr>
        <b/>
        <sz val="10"/>
        <rFont val="Arial"/>
        <family val="2"/>
      </rPr>
      <t>Fire:</t>
    </r>
    <r>
      <rPr>
        <sz val="10"/>
        <rFont val="Arial"/>
        <family val="2"/>
      </rPr>
      <t xml:space="preserve"> 6/20 = 30% rejected = 70% score
</t>
    </r>
    <r>
      <rPr>
        <b/>
        <sz val="10"/>
        <rFont val="Arial"/>
        <family val="2"/>
      </rPr>
      <t>Safety:</t>
    </r>
    <r>
      <rPr>
        <sz val="10"/>
        <rFont val="Arial"/>
        <family val="2"/>
      </rPr>
      <t xml:space="preserve"> 7/25 = 28% gaps = 72% score
</t>
    </r>
    <r>
      <rPr>
        <b/>
        <sz val="10"/>
        <rFont val="Arial"/>
        <family val="2"/>
      </rPr>
      <t>BSA:</t>
    </r>
    <r>
      <rPr>
        <sz val="10"/>
        <rFont val="Arial"/>
        <family val="2"/>
      </rPr>
      <t xml:space="preserve"> 9/15 = 60% at risk = 40% score
</t>
    </r>
    <r>
      <rPr>
        <b/>
        <sz val="10"/>
        <rFont val="Arial"/>
        <family val="2"/>
      </rPr>
      <t>Regulatory:</t>
    </r>
    <r>
      <rPr>
        <sz val="10"/>
        <rFont val="Arial"/>
        <family val="2"/>
      </rPr>
      <t xml:space="preserve"> 3 breaches = 45% score</t>
    </r>
  </si>
  <si>
    <t>programme goals delivered</t>
  </si>
  <si>
    <t>budget efficiency achieved</t>
  </si>
  <si>
    <t>budget deviation measured</t>
  </si>
  <si>
    <t>budget deviation managed</t>
  </si>
  <si>
    <t>contingency funds preserved</t>
  </si>
  <si>
    <t>cost forecasts accurate</t>
  </si>
  <si>
    <t>schedules projected reliably</t>
  </si>
  <si>
    <t>changes successfully managed</t>
  </si>
  <si>
    <t>critical risks mitigated</t>
  </si>
  <si>
    <t>sustainability conditions met</t>
  </si>
  <si>
    <t>energy targets achieved</t>
  </si>
  <si>
    <t>efficient methods implemented</t>
  </si>
  <si>
    <t>carbon targets delivered</t>
  </si>
  <si>
    <t>environmental issues resolved</t>
  </si>
  <si>
    <t>defects resolved</t>
  </si>
  <si>
    <t>quality standards met</t>
  </si>
  <si>
    <t>digital workflows implemented</t>
  </si>
  <si>
    <t>resident satisfaction achieved</t>
  </si>
  <si>
    <t>stable suppliers retained</t>
  </si>
  <si>
    <t>reports submitted on time</t>
  </si>
  <si>
    <t>contractor targets met</t>
  </si>
  <si>
    <t>critical roles filled</t>
  </si>
  <si>
    <t>disputes resolved effectively</t>
  </si>
  <si>
    <t>building standards met</t>
  </si>
  <si>
    <t>regulatory requirements met</t>
  </si>
  <si>
    <t>planning approvals secured</t>
  </si>
  <si>
    <t>building regulations satisfied</t>
  </si>
  <si>
    <t>safety targets met</t>
  </si>
  <si>
    <t>delivery delays minimized</t>
  </si>
  <si>
    <t>community engagement achieved</t>
  </si>
  <si>
    <t>stakeholder expectations met</t>
  </si>
  <si>
    <t>complaints resolved</t>
  </si>
  <si>
    <t>social value delivered</t>
  </si>
  <si>
    <t>local workforce developed</t>
  </si>
  <si>
    <t>SME contracts awarded</t>
  </si>
  <si>
    <t>benefits delivered</t>
  </si>
  <si>
    <t>strategic alignment maintained</t>
  </si>
  <si>
    <t>scope delivered as approved</t>
  </si>
  <si>
    <t>budget adherence maintained</t>
  </si>
  <si>
    <t>80 %</t>
  </si>
  <si>
    <t>49 %</t>
  </si>
  <si>
    <t>Input A: Actual: £52M, 
Input B: Forecast: £50M</t>
  </si>
  <si>
    <t>Input A: Projects: +5%, +12%, +3%, +8%</t>
  </si>
  <si>
    <t>Input A: Average resolution time: 45 days</t>
  </si>
  <si>
    <t>Input A: On Time: 45, 
Input B: Total: 54, 
Input C: On Budget: 48</t>
  </si>
  <si>
    <t>Input A: Within Budget: 43, 
Input B: Total: 54</t>
  </si>
  <si>
    <t>Input A: Actual: £52M, 
Input B: Budget: £50M</t>
  </si>
  <si>
    <t>Input A: Unused: £17M, 
Input B: Available: £35M</t>
  </si>
  <si>
    <t>Input A: Actual: 18 months, 
Input B: Forecast: 17 months</t>
  </si>
  <si>
    <t>Input A: Change Orders: £22M, 
Input B: Contract: £480M</t>
  </si>
  <si>
    <t>Input A: Mitigated: 46, 
Input B: Total: 50</t>
  </si>
  <si>
    <t>Input A: Discharged: 47, 
Input B: Total: 50</t>
  </si>
  <si>
    <t>Input A: Within 10%: 16, 
Input B: Total: 20</t>
  </si>
  <si>
    <t>Input A: Efficient methods: 11, 
Input B: Total: 20</t>
  </si>
  <si>
    <t>Input A: Met targets: 18, 
Input B: Total: 20</t>
  </si>
  <si>
    <t>Input A: Resolved 48hr: 47, 
Input B: Total: 50</t>
  </si>
  <si>
    <t>Input A: Resolved: 285, 
Input B: Total: 300</t>
  </si>
  <si>
    <t>Input A: First Time: 190, 
Input B: Total: 210</t>
  </si>
  <si>
    <t>Input A: Digital workflows: 14, 
Input B: Total: 20</t>
  </si>
  <si>
    <t>Input A: Satisfied: 78, 
Input B: Total: 100</t>
  </si>
  <si>
    <t>Input A: Stable: 18, 
Input B: Total: 20</t>
  </si>
  <si>
    <t>Input A: On time: 46, 
Input B: Total: 50</t>
  </si>
  <si>
    <t>Input A: Safety: 92%, 
Input B: Quality: 88%, 
Input C: Delivery: 85%, 
Input D: Commercial: 80%</t>
  </si>
  <si>
    <t>Input A: Filled: 28, 
Input B: Total: 30</t>
  </si>
  <si>
    <t>Input A: First time pass: 18, 
Input B: Total: 20</t>
  </si>
  <si>
    <t>Input A: Compliant: 485, 
Input B: Total: 500</t>
  </si>
  <si>
    <t>Input A: Approved: 47, 
Input B: Submitted: 52</t>
  </si>
  <si>
    <t>Input A: First Time: 48, 
Input B: Total: 52</t>
  </si>
  <si>
    <t>Input A: Programme Accident Frequency Rate: 0.4, 
Input B: Industry Benchmark Rate: 0.8</t>
  </si>
  <si>
    <t>Input A: Residents: 82%, 
Input B: GLA: 78%, 
Input C: Contractors: 85%</t>
  </si>
  <si>
    <t>Input A: Resolved: 47, 
Input B: Total: 50</t>
  </si>
  <si>
    <t>Input A: Commitments met: 42, 
Input B: Total: 50</t>
  </si>
  <si>
    <t>Input A: Local: 85, 
Input B: Apprentices: 15, 
Input C: Total: 500</t>
  </si>
  <si>
    <t>Input A: SME: £9M, 
Input B: Total: £40M</t>
  </si>
  <si>
    <t>Input A: Schemes Aligned: 19, 
Input B: Total Schemes: 20</t>
  </si>
  <si>
    <t>Input A: Scope Delivered: 45, 
Input B: Approved Scope: 47</t>
  </si>
  <si>
    <t>Input A: Actual Cost: £26M, 
Input B: BC Approved Budget: £25M</t>
  </si>
  <si>
    <t>Input A: Incorporated: 78,
Input B: Total: 100</t>
  </si>
  <si>
    <t>Input A: Benefits Achieved: £9.0M,
Input B: Benefits Forecast: £10.0M</t>
  </si>
  <si>
    <t>Input A: Weeks avg: 8,  
Input B: Cost/week: £400,
Input C: Units: 50</t>
  </si>
  <si>
    <t>80 % Of budget efficiency achieved</t>
  </si>
  <si>
    <t>49 % Of contingency funds preserved</t>
  </si>
  <si>
    <t>106 % Of schedules projected reliably</t>
  </si>
  <si>
    <t>5 % Of changes successfully managed</t>
  </si>
  <si>
    <t>50 % Of quality standards met</t>
  </si>
  <si>
    <t>140 %</t>
  </si>
  <si>
    <t>140 % Of resident satisfaction achieved</t>
  </si>
  <si>
    <t>95 %</t>
  </si>
  <si>
    <t>Detailed KPI Breakdown - Southwark Construction Programme</t>
  </si>
  <si>
    <t>Strategic KPI</t>
  </si>
  <si>
    <t>KPI Component Definitions</t>
  </si>
  <si>
    <t>Actual KPI Indicators in Programme</t>
  </si>
  <si>
    <t>KPI Score Calculation</t>
  </si>
  <si>
    <t>KPI Final Calculation</t>
  </si>
  <si>
    <t>On Time: 45, On Budget: 48, Total: 54</t>
  </si>
  <si>
    <r>
      <t>On Time</t>
    </r>
    <r>
      <rPr>
        <sz val="10"/>
        <rFont val="Arial"/>
        <family val="2"/>
      </rPr>
      <t xml:space="preserve">: Project completed within agreed milestone dates
</t>
    </r>
    <r>
      <rPr>
        <b/>
        <sz val="12"/>
        <color theme="1"/>
        <rFont val="Arial"/>
        <family val="2"/>
      </rPr>
      <t>On Budget</t>
    </r>
    <r>
      <rPr>
        <sz val="10"/>
        <rFont val="Arial"/>
        <family val="2"/>
      </rPr>
      <t xml:space="preserve">: Project final cost within approved budget +5%
</t>
    </r>
    <r>
      <rPr>
        <b/>
        <sz val="12"/>
        <color theme="1"/>
        <rFont val="Arial"/>
        <family val="2"/>
      </rPr>
      <t>Total Projects</t>
    </r>
    <r>
      <rPr>
        <sz val="10"/>
        <rFont val="Arial"/>
        <family val="2"/>
      </rPr>
      <t>: All active schemes in current reporting period</t>
    </r>
  </si>
  <si>
    <t>Time Performance: 45/54 = 83.33%
Budget Performance: 48/54 = 88.89%</t>
  </si>
  <si>
    <t>(83.33% × 50%) + (88.89% × 50%) = 41.67% + 44.44%</t>
  </si>
  <si>
    <t>86% (Green)</t>
  </si>
  <si>
    <t>Within Budget: 43, Total: 54</t>
  </si>
  <si>
    <r>
      <t>Within Budget</t>
    </r>
    <r>
      <rPr>
        <sz val="10"/>
        <rFont val="Arial"/>
        <family val="2"/>
      </rPr>
      <t xml:space="preserve">: Final project cost ≤ approved budget + 5% tolerance
</t>
    </r>
    <r>
      <rPr>
        <b/>
        <sz val="12"/>
        <color theme="1"/>
        <rFont val="Arial"/>
        <family val="2"/>
      </rPr>
      <t>Approved Budget</t>
    </r>
    <r>
      <rPr>
        <sz val="10"/>
        <rFont val="Arial"/>
        <family val="2"/>
      </rPr>
      <t xml:space="preserve">: Latest cabinet-approved project budget
</t>
    </r>
    <r>
      <rPr>
        <b/>
        <sz val="12"/>
        <color theme="1"/>
        <rFont val="Arial"/>
        <family val="2"/>
      </rPr>
      <t>Total Projects</t>
    </r>
    <r>
      <rPr>
        <sz val="10"/>
        <rFont val="Arial"/>
        <family val="2"/>
      </rPr>
      <t>: All schemes with financial completion in period</t>
    </r>
  </si>
  <si>
    <t>Budget Compliant Projects: 43
Total Completed Projects: 54
Budget Performance Rate: 79.63%</t>
  </si>
  <si>
    <t>43 ÷ 54 × 100%</t>
  </si>
  <si>
    <t>80% (Amber)</t>
  </si>
  <si>
    <t>Projects: +5%, +12%, +3%, +8%</t>
  </si>
  <si>
    <r>
      <t>Actual Spend</t>
    </r>
    <r>
      <rPr>
        <sz val="10"/>
        <rFont val="Arial"/>
        <family val="2"/>
      </rPr>
      <t xml:space="preserve">: Total certified payments to date
</t>
    </r>
    <r>
      <rPr>
        <b/>
        <sz val="12"/>
        <color theme="1"/>
        <rFont val="Arial"/>
        <family val="2"/>
      </rPr>
      <t>Approved Budget</t>
    </r>
    <r>
      <rPr>
        <sz val="10"/>
        <rFont val="Arial"/>
        <family val="2"/>
      </rPr>
      <t xml:space="preserve">: Current approved budget including variations
</t>
    </r>
    <r>
      <rPr>
        <b/>
        <sz val="12"/>
        <color theme="1"/>
        <rFont val="Arial"/>
        <family val="2"/>
      </rPr>
      <t>Variance</t>
    </r>
    <r>
      <rPr>
        <sz val="10"/>
        <rFont val="Arial"/>
        <family val="2"/>
      </rPr>
      <t>: Positive = overspend, Negative = underspend</t>
    </r>
  </si>
  <si>
    <t>Project Variances: 5%, 12%, 3%, 8%
Sum of Variances: 28%
Number of Projects: 4</t>
  </si>
  <si>
    <t>(5% + 12% + 3% + 8%) ÷ 4</t>
  </si>
  <si>
    <t>7% (Green)</t>
  </si>
  <si>
    <t>Actual: £52M, Budget: £50M</t>
  </si>
  <si>
    <r>
      <t>Actual Spend</t>
    </r>
    <r>
      <rPr>
        <sz val="10"/>
        <rFont val="Arial"/>
        <family val="2"/>
      </rPr>
      <t xml:space="preserve">: Total certified payments to date
</t>
    </r>
    <r>
      <rPr>
        <b/>
        <sz val="12"/>
        <color theme="1"/>
        <rFont val="Arial"/>
        <family val="2"/>
      </rPr>
      <t>Approved Budget</t>
    </r>
    <r>
      <rPr>
        <sz val="10"/>
        <rFont val="Arial"/>
        <family val="2"/>
      </rPr>
      <t xml:space="preserve">: Current approved budget including variations
</t>
    </r>
    <r>
      <rPr>
        <b/>
        <sz val="12"/>
        <color theme="1"/>
        <rFont val="Arial"/>
        <family val="2"/>
      </rPr>
      <t>Programme Level</t>
    </r>
    <r>
      <rPr>
        <sz val="10"/>
        <rFont val="Arial"/>
        <family val="2"/>
      </rPr>
      <t>: Aggregate across all schemes</t>
    </r>
  </si>
  <si>
    <t>Programme Actual: £52M
Programme Budget: £50M
Variance: £2M overspend</t>
  </si>
  <si>
    <t>(52 - 50) ÷ 50 × 100%</t>
  </si>
  <si>
    <t>4% (Green)</t>
  </si>
  <si>
    <t>Unused: £17M, Available: £35M</t>
  </si>
  <si>
    <r>
      <t>Unused Contingency</t>
    </r>
    <r>
      <rPr>
        <sz val="10"/>
        <rFont val="Arial"/>
        <family val="2"/>
      </rPr>
      <t xml:space="preserve">: Remaining unallocated contingency funds
</t>
    </r>
    <r>
      <rPr>
        <b/>
        <sz val="12"/>
        <color theme="1"/>
        <rFont val="Arial"/>
        <family val="2"/>
      </rPr>
      <t>Total Available</t>
    </r>
    <r>
      <rPr>
        <sz val="10"/>
        <rFont val="Arial"/>
        <family val="2"/>
      </rPr>
      <t xml:space="preserve">: Original contingency allocation
</t>
    </r>
    <r>
      <rPr>
        <b/>
        <sz val="12"/>
        <color theme="1"/>
        <rFont val="Arial"/>
        <family val="2"/>
      </rPr>
      <t>Management Score</t>
    </r>
    <r>
      <rPr>
        <sz val="10"/>
        <rFont val="Arial"/>
        <family val="2"/>
      </rPr>
      <t>: Higher unused = better financial control</t>
    </r>
  </si>
  <si>
    <t>Total Contingency: £35M
Contingency Used: £18M
Contingency Unused: £17M</t>
  </si>
  <si>
    <t>17 ÷ 35 × 100%</t>
  </si>
  <si>
    <t>49% (Green)</t>
  </si>
  <si>
    <t>Actual: £52M, Forecast: £50M</t>
  </si>
  <si>
    <r>
      <t>Actual Costs</t>
    </r>
    <r>
      <rPr>
        <sz val="10"/>
        <rFont val="Arial"/>
        <family val="2"/>
      </rPr>
      <t xml:space="preserve">: Certified payments at reporting date
</t>
    </r>
    <r>
      <rPr>
        <b/>
        <sz val="12"/>
        <color theme="1"/>
        <rFont val="Arial"/>
        <family val="2"/>
      </rPr>
      <t>Forecasted Costs</t>
    </r>
    <r>
      <rPr>
        <sz val="10"/>
        <rFont val="Arial"/>
        <family val="2"/>
      </rPr>
      <t xml:space="preserve">: Cost forecast from previous reporting period
</t>
    </r>
    <r>
      <rPr>
        <b/>
        <sz val="12"/>
        <color theme="1"/>
        <rFont val="Arial"/>
        <family val="2"/>
      </rPr>
      <t>Accuracy Range</t>
    </r>
    <r>
      <rPr>
        <sz val="10"/>
        <rFont val="Arial"/>
        <family val="2"/>
      </rPr>
      <t>: 95-105% = accurate</t>
    </r>
  </si>
  <si>
    <t>Current Actual Cost: £52M
Previous Period Forecast: £50M
Accuracy Ratio: 104%</t>
  </si>
  <si>
    <t>52 ÷ 50 × 100%</t>
  </si>
  <si>
    <t>104% (Green)</t>
  </si>
  <si>
    <t>Actual: 18 months, Forecast: 17 months</t>
  </si>
  <si>
    <r>
      <t>Actual Completion</t>
    </r>
    <r>
      <rPr>
        <sz val="10"/>
        <rFont val="Arial"/>
        <family val="2"/>
      </rPr>
      <t xml:space="preserve">: Actual project duration to practical completion
</t>
    </r>
    <r>
      <rPr>
        <b/>
        <sz val="12"/>
        <color theme="1"/>
        <rFont val="Arial"/>
        <family val="2"/>
      </rPr>
      <t>Forecasted Completion</t>
    </r>
    <r>
      <rPr>
        <sz val="10"/>
        <rFont val="Arial"/>
        <family val="2"/>
      </rPr>
      <t xml:space="preserve">: Duration forecast from previous period
</t>
    </r>
    <r>
      <rPr>
        <b/>
        <sz val="12"/>
        <color theme="1"/>
        <rFont val="Arial"/>
        <family val="2"/>
      </rPr>
      <t>Reliability Range</t>
    </r>
    <r>
      <rPr>
        <sz val="10"/>
        <rFont val="Arial"/>
        <family val="2"/>
      </rPr>
      <t>: 95-105% = reliable</t>
    </r>
  </si>
  <si>
    <t>Actual Duration: 18 months
Forecast Duration: 17 months
Reliability Ratio: 106%</t>
  </si>
  <si>
    <t>18 ÷ 17 × 100%</t>
  </si>
  <si>
    <t>106% (Amber)</t>
  </si>
  <si>
    <t>Change Orders: £22M, Contract: £480M</t>
  </si>
  <si>
    <r>
      <t>Change Order Costs</t>
    </r>
    <r>
      <rPr>
        <sz val="10"/>
        <rFont val="Arial"/>
        <family val="2"/>
      </rPr>
      <t xml:space="preserve">: Approved variations to original contract
</t>
    </r>
    <r>
      <rPr>
        <b/>
        <sz val="12"/>
        <color theme="1"/>
        <rFont val="Arial"/>
        <family val="2"/>
      </rPr>
      <t>Original Contract Value</t>
    </r>
    <r>
      <rPr>
        <sz val="10"/>
        <rFont val="Arial"/>
        <family val="2"/>
      </rPr>
      <t xml:space="preserve">: Initial contract sum
</t>
    </r>
    <r>
      <rPr>
        <b/>
        <sz val="12"/>
        <color theme="1"/>
        <rFont val="Arial"/>
        <family val="2"/>
      </rPr>
      <t>Impact Threshold</t>
    </r>
    <r>
      <rPr>
        <sz val="10"/>
        <rFont val="Arial"/>
        <family val="2"/>
      </rPr>
      <t>: &lt;5% = well controlled</t>
    </r>
  </si>
  <si>
    <t>Total Change Orders: £22M
Original Contract Value: £480M
Change Impact: 4.58%</t>
  </si>
  <si>
    <t>22 ÷ 480 × 100%</t>
  </si>
  <si>
    <t>4.6% (Green)</t>
  </si>
  <si>
    <t>Mitigated: 46, Total: 50</t>
  </si>
  <si>
    <r>
      <t>Active Mitigation</t>
    </r>
    <r>
      <rPr>
        <sz val="10"/>
        <rFont val="Arial"/>
        <family val="2"/>
      </rPr>
      <t xml:space="preserve">: High/critical risks with approved mitigation plans
</t>
    </r>
    <r>
      <rPr>
        <b/>
        <sz val="12"/>
        <color theme="1"/>
        <rFont val="Arial"/>
        <family val="2"/>
      </rPr>
      <t>Total High/Critical</t>
    </r>
    <r>
      <rPr>
        <sz val="10"/>
        <rFont val="Arial"/>
        <family val="2"/>
      </rPr>
      <t xml:space="preserve">: All risks rated high or critical in risk register
</t>
    </r>
    <r>
      <rPr>
        <b/>
        <sz val="12"/>
        <color theme="1"/>
        <rFont val="Arial"/>
        <family val="2"/>
      </rPr>
      <t>Effectiveness</t>
    </r>
    <r>
      <rPr>
        <sz val="10"/>
        <rFont val="Arial"/>
        <family val="2"/>
      </rPr>
      <t>: &gt;95% = excellent control</t>
    </r>
  </si>
  <si>
    <t>High/Critical Risks: 50
Risks with Mitigation: 46
Risks without Mitigation: 4</t>
  </si>
  <si>
    <t>46 ÷ 50 × 100%</t>
  </si>
  <si>
    <t>92% (Amber)</t>
  </si>
  <si>
    <t>Discharged: 47, Total: 50</t>
  </si>
  <si>
    <r>
      <t>Successfully Discharged</t>
    </r>
    <r>
      <rPr>
        <sz val="10"/>
        <rFont val="Arial"/>
        <family val="2"/>
      </rPr>
      <t xml:space="preserve">: Planning conditions fully satisfied
</t>
    </r>
    <r>
      <rPr>
        <b/>
        <sz val="12"/>
        <color theme="1"/>
        <rFont val="Arial"/>
        <family val="2"/>
      </rPr>
      <t>Total Conditions</t>
    </r>
    <r>
      <rPr>
        <sz val="10"/>
        <rFont val="Arial"/>
        <family val="2"/>
      </rPr>
      <t xml:space="preserve">: All sustainability-related planning conditions
</t>
    </r>
    <r>
      <rPr>
        <b/>
        <sz val="12"/>
        <color theme="1"/>
        <rFont val="Arial"/>
        <family val="2"/>
      </rPr>
      <t>Compliance</t>
    </r>
    <r>
      <rPr>
        <sz val="10"/>
        <rFont val="Arial"/>
        <family val="2"/>
      </rPr>
      <t>: Approved by planning authority</t>
    </r>
  </si>
  <si>
    <t>Sustainability Conditions: 50
Conditions Discharged: 47
Outstanding Conditions: 3</t>
  </si>
  <si>
    <t>47 ÷ 50 × 100%</t>
  </si>
  <si>
    <t>94% (Amber)</t>
  </si>
  <si>
    <t>KPI_62</t>
  </si>
  <si>
    <t>Construction Waste Diversion Rate</t>
  </si>
  <si>
    <t>(Total Waste Diverted from Landfill ÷ Total Waste Generated) × 100%</t>
  </si>
  <si>
    <t>Diverted: 425t, Total: 500t</t>
  </si>
  <si>
    <r>
      <t>Waste Diverted</t>
    </r>
    <r>
      <rPr>
        <sz val="10"/>
        <rFont val="Arial"/>
        <family val="2"/>
      </rPr>
      <t xml:space="preserve">: Total waste recycled, reused, or recovered
</t>
    </r>
    <r>
      <rPr>
        <b/>
        <sz val="12"/>
        <color theme="1"/>
        <rFont val="Arial"/>
        <family val="2"/>
      </rPr>
      <t>Total Generated</t>
    </r>
    <r>
      <rPr>
        <sz val="10"/>
        <rFont val="Arial"/>
        <family val="2"/>
      </rPr>
      <t xml:space="preserve">: All construction waste produced
</t>
    </r>
    <r>
      <rPr>
        <b/>
        <sz val="12"/>
        <color theme="1"/>
        <rFont val="Arial"/>
        <family val="2"/>
      </rPr>
      <t>Diversion</t>
    </r>
    <r>
      <rPr>
        <sz val="10"/>
        <rFont val="Arial"/>
        <family val="2"/>
      </rPr>
      <t>: Waste not sent to landfill</t>
    </r>
  </si>
  <si>
    <t>Total Waste Generated: 500 tonnes
Waste to Landfill: 75 tonnes
Waste Diverted: 425 tonnes</t>
  </si>
  <si>
    <t>425 ÷ 500 × 100%</t>
  </si>
  <si>
    <t>85% (Green)</t>
  </si>
  <si>
    <t>Within 10%: 16, Total: 20</t>
  </si>
  <si>
    <r>
      <t>Within 10%</t>
    </r>
    <r>
      <rPr>
        <sz val="10"/>
        <rFont val="Arial"/>
        <family val="2"/>
      </rPr>
      <t xml:space="preserve">: Actual EPC within 10% of design SAP rating
</t>
    </r>
    <r>
      <rPr>
        <b/>
        <sz val="12"/>
        <color theme="1"/>
        <rFont val="Arial"/>
        <family val="2"/>
      </rPr>
      <t>Total Completed</t>
    </r>
    <r>
      <rPr>
        <sz val="10"/>
        <rFont val="Arial"/>
        <family val="2"/>
      </rPr>
      <t xml:space="preserve">: Projects with both design and actual EPC
</t>
    </r>
    <r>
      <rPr>
        <b/>
        <sz val="12"/>
        <color theme="1"/>
        <rFont val="Arial"/>
        <family val="2"/>
      </rPr>
      <t>Performance Gap</t>
    </r>
    <r>
      <rPr>
        <sz val="10"/>
        <rFont val="Arial"/>
        <family val="2"/>
      </rPr>
      <t>: Difference between design and actual</t>
    </r>
  </si>
  <si>
    <t>Completed Projects: 20
Projects Within 10%: 16
Projects Outside 10%: 4</t>
  </si>
  <si>
    <t>16 ÷ 20 × 100%</t>
  </si>
  <si>
    <t>80% (Green)</t>
  </si>
  <si>
    <t>KPI_88</t>
  </si>
  <si>
    <t>Sustainable Materials Usage</t>
  </si>
  <si>
    <t>(Projects Using ≥2 Sustainable Material Categories ÷ Total Projects) × 100%</t>
  </si>
  <si>
    <t>Compliant: 15, Total: 20</t>
  </si>
  <si>
    <r>
      <t>Sustainable Categories</t>
    </r>
    <r>
      <rPr>
        <sz val="10"/>
        <rFont val="Arial"/>
        <family val="2"/>
      </rPr>
      <t xml:space="preserve">: Recycled content, FSC timber, low-carbon concrete, reclaimed materials
</t>
    </r>
    <r>
      <rPr>
        <b/>
        <sz val="12"/>
        <color theme="1"/>
        <rFont val="Arial"/>
        <family val="2"/>
      </rPr>
      <t>≥2 Categories</t>
    </r>
    <r>
      <rPr>
        <sz val="10"/>
        <rFont val="Arial"/>
        <family val="2"/>
      </rPr>
      <t xml:space="preserve">: Project must use at least two categories
</t>
    </r>
    <r>
      <rPr>
        <b/>
        <sz val="12"/>
        <color theme="1"/>
        <rFont val="Arial"/>
        <family val="2"/>
      </rPr>
      <t>Total Projects</t>
    </r>
    <r>
      <rPr>
        <sz val="10"/>
        <rFont val="Arial"/>
        <family val="2"/>
      </rPr>
      <t>: All projects in assessment period</t>
    </r>
  </si>
  <si>
    <t>Total Projects: 20
Projects Using ≥2 Categories: 15
Projects Using &lt;2 Categories: 5</t>
  </si>
  <si>
    <t>15 ÷ 20 × 100%</t>
  </si>
  <si>
    <t>75% (Green)</t>
  </si>
  <si>
    <t>Efficient methods: 11, Total: 20</t>
  </si>
  <si>
    <r>
      <t>Efficient Methods</t>
    </r>
    <r>
      <rPr>
        <sz val="10"/>
        <rFont val="Arial"/>
        <family val="2"/>
      </rPr>
      <t xml:space="preserve">: Prefab elements, standardized designs, bulk procurement
</t>
    </r>
    <r>
      <rPr>
        <b/>
        <sz val="12"/>
        <color theme="1"/>
        <rFont val="Arial"/>
        <family val="2"/>
      </rPr>
      <t>Using Methods</t>
    </r>
    <r>
      <rPr>
        <sz val="10"/>
        <rFont val="Arial"/>
        <family val="2"/>
      </rPr>
      <t xml:space="preserve">: Project employs one or more efficient methods
</t>
    </r>
    <r>
      <rPr>
        <b/>
        <sz val="12"/>
        <color theme="1"/>
        <rFont val="Arial"/>
        <family val="2"/>
      </rPr>
      <t>Efficiency</t>
    </r>
    <r>
      <rPr>
        <sz val="10"/>
        <rFont val="Arial"/>
        <family val="2"/>
      </rPr>
      <t>: Methods that improve speed/quality</t>
    </r>
  </si>
  <si>
    <t>Total Projects: 20
Projects Using Efficient Methods: 11
Traditional Methods Only: 9</t>
  </si>
  <si>
    <t>11 ÷ 20 × 100%</t>
  </si>
  <si>
    <t>55% (Amber)</t>
  </si>
  <si>
    <t>Met targets: 18, Total: 20</t>
  </si>
  <si>
    <r>
      <t>Meeting Targets</t>
    </r>
    <r>
      <rPr>
        <sz val="10"/>
        <rFont val="Arial"/>
        <family val="2"/>
      </rPr>
      <t xml:space="preserve">: Achieving specified carbon reduction vs baseline
</t>
    </r>
    <r>
      <rPr>
        <b/>
        <sz val="12"/>
        <color theme="1"/>
        <rFont val="Arial"/>
        <family val="2"/>
      </rPr>
      <t>Applicable Projects</t>
    </r>
    <r>
      <rPr>
        <sz val="10"/>
        <rFont val="Arial"/>
        <family val="2"/>
      </rPr>
      <t xml:space="preserve">: New builds &gt;10 units, major refurbs &gt;£2M
</t>
    </r>
    <r>
      <rPr>
        <b/>
        <sz val="12"/>
        <color theme="1"/>
        <rFont val="Arial"/>
        <family val="2"/>
      </rPr>
      <t>Carbon Targets</t>
    </r>
    <r>
      <rPr>
        <sz val="10"/>
        <rFont val="Arial"/>
        <family val="2"/>
      </rPr>
      <t>: As specified in planning conditions or policy</t>
    </r>
  </si>
  <si>
    <t>Applicable Projects: 20
Projects Meeting Targets: 18
Projects Not Meeting Targets: 2</t>
  </si>
  <si>
    <t>18 ÷ 20 × 100%</t>
  </si>
  <si>
    <t>90% (Green)</t>
  </si>
  <si>
    <t>Resolved 48hr: 47, Total: 50</t>
  </si>
  <si>
    <r>
      <t>Resolved Within 48hr</t>
    </r>
    <r>
      <rPr>
        <sz val="10"/>
        <rFont val="Arial"/>
        <family val="2"/>
      </rPr>
      <t xml:space="preserve">: Incident closed within 2 working days
</t>
    </r>
    <r>
      <rPr>
        <b/>
        <sz val="12"/>
        <color theme="1"/>
        <rFont val="Arial"/>
        <family val="2"/>
      </rPr>
      <t>Environmental Incidents</t>
    </r>
    <r>
      <rPr>
        <sz val="10"/>
        <rFont val="Arial"/>
        <family val="2"/>
      </rPr>
      <t xml:space="preserve">: Dust, noise, contamination complaints
</t>
    </r>
    <r>
      <rPr>
        <b/>
        <sz val="12"/>
        <color theme="1"/>
        <rFont val="Arial"/>
        <family val="2"/>
      </rPr>
      <t>Total Incidents</t>
    </r>
    <r>
      <rPr>
        <sz val="10"/>
        <rFont val="Arial"/>
        <family val="2"/>
      </rPr>
      <t>: All environmental incidents reported</t>
    </r>
  </si>
  <si>
    <t>Total Incidents: 50
Resolved Within 48hr: 47
Resolved After 48hr: 3</t>
  </si>
  <si>
    <t>Resolved: 285, Total: 300</t>
  </si>
  <si>
    <r>
      <t>Resolved Within SLA</t>
    </r>
    <r>
      <rPr>
        <sz val="10"/>
        <rFont val="Arial"/>
        <family val="2"/>
      </rPr>
      <t xml:space="preserve">: Defects fixed within service level agreement timeframe
</t>
    </r>
    <r>
      <rPr>
        <b/>
        <sz val="12"/>
        <color theme="1"/>
        <rFont val="Arial"/>
        <family val="2"/>
      </rPr>
      <t>Total Defects</t>
    </r>
    <r>
      <rPr>
        <sz val="10"/>
        <rFont val="Arial"/>
        <family val="2"/>
      </rPr>
      <t xml:space="preserve">: All defects reported during defects liability period
</t>
    </r>
    <r>
      <rPr>
        <b/>
        <sz val="12"/>
        <color theme="1"/>
        <rFont val="Arial"/>
        <family val="2"/>
      </rPr>
      <t>SLA</t>
    </r>
    <r>
      <rPr>
        <sz val="10"/>
        <rFont val="Arial"/>
        <family val="2"/>
      </rPr>
      <t>: Typically 14 days for minor, 48 hours for major</t>
    </r>
  </si>
  <si>
    <t>Total Defects Reported: 300
Defects Resolved Within SLA: 285
Defects Overdue: 15</t>
  </si>
  <si>
    <t>285 ÷ 300 × 100%</t>
  </si>
  <si>
    <t>95% (Green)</t>
  </si>
  <si>
    <t>First Time: 190, Total: 210</t>
  </si>
  <si>
    <r>
      <t>Passed First Time</t>
    </r>
    <r>
      <rPr>
        <sz val="10"/>
        <rFont val="Arial"/>
        <family val="2"/>
      </rPr>
      <t xml:space="preserve">: Inspection passed without requiring remedial work
</t>
    </r>
    <r>
      <rPr>
        <b/>
        <sz val="12"/>
        <color theme="1"/>
        <rFont val="Arial"/>
        <family val="2"/>
      </rPr>
      <t>Total Inspections</t>
    </r>
    <r>
      <rPr>
        <sz val="10"/>
        <rFont val="Arial"/>
        <family val="2"/>
      </rPr>
      <t xml:space="preserve">: All formal quality inspections conducted
</t>
    </r>
    <r>
      <rPr>
        <b/>
        <sz val="12"/>
        <color theme="1"/>
        <rFont val="Arial"/>
        <family val="2"/>
      </rPr>
      <t>Quality Standards</t>
    </r>
    <r>
      <rPr>
        <sz val="10"/>
        <rFont val="Arial"/>
        <family val="2"/>
      </rPr>
      <t>: As per specification and building regulations</t>
    </r>
  </si>
  <si>
    <t>Total Inspections: 210
First Time Pass: 190
Failed/Rework Required: 20</t>
  </si>
  <si>
    <t>190 ÷ 210 × 100%</t>
  </si>
  <si>
    <t>Digital workflows: 14, Total: 20</t>
  </si>
  <si>
    <r>
      <t>Digital Workflows</t>
    </r>
    <r>
      <rPr>
        <sz val="10"/>
        <rFont val="Arial"/>
        <family val="2"/>
      </rPr>
      <t xml:space="preserve">: BIM Level 2, digital planning submissions, digital handovers
</t>
    </r>
    <r>
      <rPr>
        <b/>
        <sz val="12"/>
        <color theme="1"/>
        <rFont val="Arial"/>
        <family val="2"/>
      </rPr>
      <t>Using Workflows</t>
    </r>
    <r>
      <rPr>
        <sz val="10"/>
        <rFont val="Arial"/>
        <family val="2"/>
      </rPr>
      <t xml:space="preserve">: Project employs specified digital processes
</t>
    </r>
    <r>
      <rPr>
        <b/>
        <sz val="12"/>
        <color theme="1"/>
        <rFont val="Arial"/>
        <family val="2"/>
      </rPr>
      <t>Adoption</t>
    </r>
    <r>
      <rPr>
        <sz val="10"/>
        <rFont val="Arial"/>
        <family val="2"/>
      </rPr>
      <t>: Implementation of digital construction methods</t>
    </r>
  </si>
  <si>
    <t>Total Projects: 20
Projects Using Digital Workflows: 14
Traditional Processes Only: 6</t>
  </si>
  <si>
    <t>14 ÷ 20 × 100%</t>
  </si>
  <si>
    <t>70% (Green)</t>
  </si>
  <si>
    <t>Satisfied: 78, Total: 100</t>
  </si>
  <si>
    <r>
      <t>Satisfied Residents</t>
    </r>
    <r>
      <rPr>
        <sz val="10"/>
        <rFont val="Arial"/>
        <family val="2"/>
      </rPr>
      <t xml:space="preserve">: Rating ≥7 out of 10 on satisfaction survey
</t>
    </r>
    <r>
      <rPr>
        <b/>
        <sz val="12"/>
        <color theme="1"/>
        <rFont val="Arial"/>
        <family val="2"/>
      </rPr>
      <t>Survey Respondents</t>
    </r>
    <r>
      <rPr>
        <sz val="10"/>
        <rFont val="Arial"/>
        <family val="2"/>
      </rPr>
      <t xml:space="preserve">: Residents completing 12-month post-occupancy survey
</t>
    </r>
    <r>
      <rPr>
        <b/>
        <sz val="12"/>
        <color theme="1"/>
        <rFont val="Arial"/>
        <family val="2"/>
      </rPr>
      <t>Satisfaction</t>
    </r>
    <r>
      <rPr>
        <sz val="10"/>
        <rFont val="Arial"/>
        <family val="2"/>
      </rPr>
      <t>: Overall satisfaction with completed home</t>
    </r>
  </si>
  <si>
    <t>Survey Respondents: 100
Satisfied (≥7/10): 78
Dissatisfied (&lt;7/10): 22</t>
  </si>
  <si>
    <t>78 ÷ 100 × 100%</t>
  </si>
  <si>
    <t>78% (Amber)</t>
  </si>
  <si>
    <t>KPI_32</t>
  </si>
  <si>
    <t>Compliance Breach Resolution</t>
  </si>
  <si>
    <t>Average Days to Resolve Compliance Breaches</t>
  </si>
  <si>
    <t>Resolution times: 20, 25, 30, 25 days</t>
  </si>
  <si>
    <r>
      <t>Compliance Breaches</t>
    </r>
    <r>
      <rPr>
        <sz val="10"/>
        <rFont val="Arial"/>
        <family val="2"/>
      </rPr>
      <t xml:space="preserve">: Violations of governance, regulatory, or contractual requirements
</t>
    </r>
    <r>
      <rPr>
        <b/>
        <sz val="12"/>
        <color theme="1"/>
        <rFont val="Arial"/>
        <family val="2"/>
      </rPr>
      <t>Resolution</t>
    </r>
    <r>
      <rPr>
        <sz val="10"/>
        <rFont val="Arial"/>
        <family val="2"/>
      </rPr>
      <t xml:space="preserve">: Breach formally closed with corrective action
</t>
    </r>
    <r>
      <rPr>
        <b/>
        <sz val="12"/>
        <color theme="1"/>
        <rFont val="Arial"/>
        <family val="2"/>
      </rPr>
      <t>Average Days</t>
    </r>
    <r>
      <rPr>
        <sz val="10"/>
        <rFont val="Arial"/>
        <family val="2"/>
      </rPr>
      <t>: Mean time from breach identification to resolution</t>
    </r>
  </si>
  <si>
    <t>Breach Resolution Times: 20, 25, 30, 25 days
Total Days: 100
Number of Breaches: 4</t>
  </si>
  <si>
    <t>(20+25+30+25) ÷ 4</t>
  </si>
  <si>
    <t>25 days</t>
  </si>
  <si>
    <t>25 days (Green)</t>
  </si>
  <si>
    <t>Stable: 18, Total: 20</t>
  </si>
  <si>
    <r>
      <t>Financially Stable</t>
    </r>
    <r>
      <rPr>
        <sz val="10"/>
        <rFont val="Arial"/>
        <family val="2"/>
      </rPr>
      <t xml:space="preserve">: Suppliers meeting financial health criteria
</t>
    </r>
    <r>
      <rPr>
        <b/>
        <sz val="12"/>
        <color theme="1"/>
        <rFont val="Arial"/>
        <family val="2"/>
      </rPr>
      <t>Key Suppliers</t>
    </r>
    <r>
      <rPr>
        <sz val="10"/>
        <rFont val="Arial"/>
        <family val="2"/>
      </rPr>
      <t xml:space="preserve">: Suppliers with contracts &gt;£500K or critical services
</t>
    </r>
    <r>
      <rPr>
        <b/>
        <sz val="12"/>
        <color theme="1"/>
        <rFont val="Arial"/>
        <family val="2"/>
      </rPr>
      <t>Stability Criteria</t>
    </r>
    <r>
      <rPr>
        <sz val="10"/>
        <rFont val="Arial"/>
        <family val="2"/>
      </rPr>
      <t>: Credit rating, financial ratios, payment history</t>
    </r>
  </si>
  <si>
    <t>Total Key Suppliers: 20
Financially Stable: 18
At Risk Suppliers: 2</t>
  </si>
  <si>
    <t>KPI_92</t>
  </si>
  <si>
    <t>Audit Findings Closure Rate</t>
  </si>
  <si>
    <t>(Audit Findings Closed Within Deadline ÷ Total Audit Findings) × 100%</t>
  </si>
  <si>
    <t>Closed: 18, Total: 20</t>
  </si>
  <si>
    <r>
      <t>Closed Within Deadline</t>
    </r>
    <r>
      <rPr>
        <sz val="10"/>
        <rFont val="Arial"/>
        <family val="2"/>
      </rPr>
      <t xml:space="preserve">: Findings resolved by agreed target date
</t>
    </r>
    <r>
      <rPr>
        <b/>
        <sz val="12"/>
        <color theme="1"/>
        <rFont val="Arial"/>
        <family val="2"/>
      </rPr>
      <t>Total Findings</t>
    </r>
    <r>
      <rPr>
        <sz val="10"/>
        <rFont val="Arial"/>
        <family val="2"/>
      </rPr>
      <t xml:space="preserve">: All audit recommendations requiring action
</t>
    </r>
    <r>
      <rPr>
        <b/>
        <sz val="12"/>
        <color theme="1"/>
        <rFont val="Arial"/>
        <family val="2"/>
      </rPr>
      <t>Closure</t>
    </r>
    <r>
      <rPr>
        <sz val="10"/>
        <rFont val="Arial"/>
        <family val="2"/>
      </rPr>
      <t>: Management action completed and verified</t>
    </r>
  </si>
  <si>
    <t>Total Audit Findings: 20
Closed Within Deadline: 18
Overdue Findings: 2</t>
  </si>
  <si>
    <t>90% (Amber)</t>
  </si>
  <si>
    <t>On time: 46, Total: 50</t>
  </si>
  <si>
    <r>
      <t>On Time</t>
    </r>
    <r>
      <rPr>
        <sz val="10"/>
        <rFont val="Arial"/>
        <family val="2"/>
      </rPr>
      <t xml:space="preserve">: Reports submitted by statutory or internal deadline
</t>
    </r>
    <r>
      <rPr>
        <b/>
        <sz val="12"/>
        <color theme="1"/>
        <rFont val="Arial"/>
        <family val="2"/>
      </rPr>
      <t>Total Due</t>
    </r>
    <r>
      <rPr>
        <sz val="10"/>
        <rFont val="Arial"/>
        <family val="2"/>
      </rPr>
      <t xml:space="preserve">: All scheduled reports (Cabinet, GLA, monthly returns)
</t>
    </r>
    <r>
      <rPr>
        <b/>
        <sz val="12"/>
        <color theme="1"/>
        <rFont val="Arial"/>
        <family val="2"/>
      </rPr>
      <t>Timeliness</t>
    </r>
    <r>
      <rPr>
        <sz val="10"/>
        <rFont val="Arial"/>
        <family val="2"/>
      </rPr>
      <t>: Compliance with reporting calendar</t>
    </r>
  </si>
  <si>
    <t>Reports Due: 50
Submitted On Time: 46
Late Submissions: 4</t>
  </si>
  <si>
    <t>Safety: 92%, Quality: 88%, Delivery: 85%, Commercial: 80%</t>
  </si>
  <si>
    <r>
      <t>Safety Score</t>
    </r>
    <r>
      <rPr>
        <sz val="10"/>
        <rFont val="Arial"/>
        <family val="2"/>
      </rPr>
      <t xml:space="preserve">: H&amp;S performance including incidents, training, compliance
</t>
    </r>
    <r>
      <rPr>
        <b/>
        <sz val="12"/>
        <color theme="1"/>
        <rFont val="Arial"/>
        <family val="2"/>
      </rPr>
      <t>Quality Score</t>
    </r>
    <r>
      <rPr>
        <sz val="10"/>
        <rFont val="Arial"/>
        <family val="2"/>
      </rPr>
      <t xml:space="preserve">: Defects, rework, standards compliance
</t>
    </r>
    <r>
      <rPr>
        <b/>
        <sz val="12"/>
        <color theme="1"/>
        <rFont val="Arial"/>
        <family val="2"/>
      </rPr>
      <t>Delivery Score</t>
    </r>
    <r>
      <rPr>
        <sz val="10"/>
        <rFont val="Arial"/>
        <family val="2"/>
      </rPr>
      <t xml:space="preserve">: Time, milestones, program adherence
</t>
    </r>
    <r>
      <rPr>
        <b/>
        <sz val="12"/>
        <color theme="1"/>
        <rFont val="Arial"/>
        <family val="2"/>
      </rPr>
      <t>Commercial</t>
    </r>
    <r>
      <rPr>
        <sz val="10"/>
        <rFont val="Arial"/>
        <family val="2"/>
      </rPr>
      <t>: Cost control, change management, claims</t>
    </r>
  </si>
  <si>
    <t>Safety Performance: 92%
Quality Performance: 88%
Delivery Performance: 85%
Commercial Performance: 80%</t>
  </si>
  <si>
    <t>(92×40%) + (88×30%) + (85×20%) + (80×10%) = 36.8 + 26.4 + 17 + 8</t>
  </si>
  <si>
    <t>88% (Amber)</t>
  </si>
  <si>
    <t>Filled: 28, Total: 30</t>
  </si>
  <si>
    <r>
      <t>Critical Roles</t>
    </r>
    <r>
      <rPr>
        <sz val="10"/>
        <rFont val="Arial"/>
        <family val="2"/>
      </rPr>
      <t xml:space="preserve">: Key positions essential for programme delivery
</t>
    </r>
    <r>
      <rPr>
        <b/>
        <sz val="12"/>
        <color theme="1"/>
        <rFont val="Arial"/>
        <family val="2"/>
      </rPr>
      <t>Filled</t>
    </r>
    <r>
      <rPr>
        <sz val="10"/>
        <rFont val="Arial"/>
        <family val="2"/>
      </rPr>
      <t xml:space="preserve">: Positions occupied by competent permanent or interim staff
</t>
    </r>
    <r>
      <rPr>
        <b/>
        <sz val="12"/>
        <color theme="1"/>
        <rFont val="Arial"/>
        <family val="2"/>
      </rPr>
      <t>Fill Rate</t>
    </r>
    <r>
      <rPr>
        <sz val="10"/>
        <rFont val="Arial"/>
        <family val="2"/>
      </rPr>
      <t>: Percentage of critical positions occupied</t>
    </r>
  </si>
  <si>
    <t>Total Critical Roles: 30
Roles Currently Filled: 28
Vacant Critical Roles: 2</t>
  </si>
  <si>
    <t>28 ÷ 30 × 100%</t>
  </si>
  <si>
    <t>93% (Amber)</t>
  </si>
  <si>
    <t>Resolution times: 30, 45, 50, 55 days</t>
  </si>
  <si>
    <r>
      <t>Contract Disputes</t>
    </r>
    <r>
      <rPr>
        <sz val="10"/>
        <rFont val="Arial"/>
        <family val="2"/>
      </rPr>
      <t xml:space="preserve">: Formal disputes requiring resolution process
</t>
    </r>
    <r>
      <rPr>
        <b/>
        <sz val="12"/>
        <color theme="1"/>
        <rFont val="Arial"/>
        <family val="2"/>
      </rPr>
      <t>Resolution</t>
    </r>
    <r>
      <rPr>
        <sz val="10"/>
        <rFont val="Arial"/>
        <family val="2"/>
      </rPr>
      <t xml:space="preserve">: Dispute formally closed through agreement or adjudication
</t>
    </r>
    <r>
      <rPr>
        <b/>
        <sz val="12"/>
        <color theme="1"/>
        <rFont val="Arial"/>
        <family val="2"/>
      </rPr>
      <t>Average Days</t>
    </r>
    <r>
      <rPr>
        <sz val="10"/>
        <rFont val="Arial"/>
        <family val="2"/>
      </rPr>
      <t>: Mean time from dispute notification to closure</t>
    </r>
  </si>
  <si>
    <t>Dispute Resolution Times: 30, 45, 50, 55 days
Total Days: 180
Number of Disputes: 4</t>
  </si>
  <si>
    <t>(30+45+50+55) ÷ 4</t>
  </si>
  <si>
    <t>45 days (Green)</t>
  </si>
  <si>
    <t>First time pass: 18, Total: 20</t>
  </si>
  <si>
    <r>
      <t>Meeting Standards</t>
    </r>
    <r>
      <rPr>
        <sz val="10"/>
        <rFont val="Arial"/>
        <family val="2"/>
      </rPr>
      <t xml:space="preserve">: All building regs, fire safety, accessibility standards
</t>
    </r>
    <r>
      <rPr>
        <b/>
        <sz val="12"/>
        <color theme="1"/>
        <rFont val="Arial"/>
        <family val="2"/>
      </rPr>
      <t>First Time</t>
    </r>
    <r>
      <rPr>
        <sz val="10"/>
        <rFont val="Arial"/>
        <family val="2"/>
      </rPr>
      <t xml:space="preserve">: No remedial work required after inspection
</t>
    </r>
    <r>
      <rPr>
        <b/>
        <sz val="12"/>
        <color theme="1"/>
        <rFont val="Arial"/>
        <family val="2"/>
      </rPr>
      <t>Compliance</t>
    </r>
    <r>
      <rPr>
        <sz val="10"/>
        <rFont val="Arial"/>
        <family val="2"/>
      </rPr>
      <t>: Full approval without conditions</t>
    </r>
  </si>
  <si>
    <t>Total Projects Inspected: 20
First Time Compliance: 18
Required Remedial Work: 2</t>
  </si>
  <si>
    <t>Compliant: 485, Total: 500</t>
  </si>
  <si>
    <r>
      <t>Compliant Activities</t>
    </r>
    <r>
      <rPr>
        <sz val="10"/>
        <rFont val="Arial"/>
        <family val="2"/>
      </rPr>
      <t xml:space="preserve">: Activities meeting all regulatory requirements
</t>
    </r>
    <r>
      <rPr>
        <b/>
        <sz val="12"/>
        <color theme="1"/>
        <rFont val="Arial"/>
        <family val="2"/>
      </rPr>
      <t>Total Activities</t>
    </r>
    <r>
      <rPr>
        <sz val="10"/>
        <rFont val="Arial"/>
        <family val="2"/>
      </rPr>
      <t xml:space="preserve">: All activities subject to regulatory oversight
</t>
    </r>
    <r>
      <rPr>
        <b/>
        <sz val="12"/>
        <color theme="1"/>
        <rFont val="Arial"/>
        <family val="2"/>
      </rPr>
      <t>Regulatory</t>
    </r>
    <r>
      <rPr>
        <sz val="10"/>
        <rFont val="Arial"/>
        <family val="2"/>
      </rPr>
      <t>: Planning, building control, H&amp;S, environmental</t>
    </r>
  </si>
  <si>
    <t>Total Regulatory Activities: 500
Compliant Activities: 485
Non-Compliant Activities: 15</t>
  </si>
  <si>
    <t>485 ÷ 500 × 100%</t>
  </si>
  <si>
    <t>97% (Amber)</t>
  </si>
  <si>
    <t>Approved: 47, Submitted: 52</t>
  </si>
  <si>
    <r>
      <t>Approved</t>
    </r>
    <r>
      <rPr>
        <sz val="10"/>
        <rFont val="Arial"/>
        <family val="2"/>
      </rPr>
      <t xml:space="preserve">: Applications receiving full planning permission
</t>
    </r>
    <r>
      <rPr>
        <b/>
        <sz val="12"/>
        <color theme="1"/>
        <rFont val="Arial"/>
        <family val="2"/>
      </rPr>
      <t>Submitted</t>
    </r>
    <r>
      <rPr>
        <sz val="10"/>
        <rFont val="Arial"/>
        <family val="2"/>
      </rPr>
      <t xml:space="preserve">: All planning applications lodged in period
</t>
    </r>
    <r>
      <rPr>
        <b/>
        <sz val="12"/>
        <color theme="1"/>
        <rFont val="Arial"/>
        <family val="2"/>
      </rPr>
      <t>Success</t>
    </r>
    <r>
      <rPr>
        <sz val="10"/>
        <rFont val="Arial"/>
        <family val="2"/>
      </rPr>
      <t>: Approval without major conditions affecting delivery</t>
    </r>
  </si>
  <si>
    <t>Applications Submitted: 52
Applications Approved: 47
Applications Refused/Withdrawn: 5</t>
  </si>
  <si>
    <t>47 ÷ 52 × 100%</t>
  </si>
  <si>
    <t>First Time: 48, Total: 52</t>
  </si>
  <si>
    <r>
      <t>First Time Approval</t>
    </r>
    <r>
      <rPr>
        <sz val="10"/>
        <rFont val="Arial"/>
        <family val="2"/>
      </rPr>
      <t xml:space="preserve">: Building regulation approval without conditions
</t>
    </r>
    <r>
      <rPr>
        <b/>
        <sz val="12"/>
        <color theme="1"/>
        <rFont val="Arial"/>
        <family val="2"/>
      </rPr>
      <t>Total Applications</t>
    </r>
    <r>
      <rPr>
        <sz val="10"/>
        <rFont val="Arial"/>
        <family val="2"/>
      </rPr>
      <t xml:space="preserve">: All building reg applications submitted
</t>
    </r>
    <r>
      <rPr>
        <b/>
        <sz val="12"/>
        <color theme="1"/>
        <rFont val="Arial"/>
        <family val="2"/>
      </rPr>
      <t>Compliance</t>
    </r>
    <r>
      <rPr>
        <sz val="10"/>
        <rFont val="Arial"/>
        <family val="2"/>
      </rPr>
      <t>: Meeting building standards without modification</t>
    </r>
  </si>
  <si>
    <t>Applications Submitted: 52
First Time Approvals: 48
Conditional/Refused: 4</t>
  </si>
  <si>
    <t>48 ÷ 52 × 100%</t>
  </si>
  <si>
    <t>Programme: 0.4, Benchmark: 0.8</t>
  </si>
  <si>
    <r>
      <t>Accident Frequency Rate</t>
    </r>
    <r>
      <rPr>
        <sz val="10"/>
        <rFont val="Arial"/>
        <family val="2"/>
      </rPr>
      <t xml:space="preserve">: RIDDOR incidents per 100,000 hours worked
</t>
    </r>
    <r>
      <rPr>
        <b/>
        <sz val="12"/>
        <color theme="1"/>
        <rFont val="Arial"/>
        <family val="2"/>
      </rPr>
      <t>Industry Benchmark</t>
    </r>
    <r>
      <rPr>
        <sz val="10"/>
        <rFont val="Arial"/>
        <family val="2"/>
      </rPr>
      <t xml:space="preserve">: Construction industry average AFR
</t>
    </r>
    <r>
      <rPr>
        <b/>
        <sz val="12"/>
        <color theme="1"/>
        <rFont val="Arial"/>
        <family val="2"/>
      </rPr>
      <t>Performance</t>
    </r>
    <r>
      <rPr>
        <sz val="10"/>
        <rFont val="Arial"/>
        <family val="2"/>
      </rPr>
      <t>: Lower ratio = better safety performance</t>
    </r>
  </si>
  <si>
    <t>Programme AFR: 0.4 per 100k hours
Industry Benchmark: 0.8 per 100k hours
Safety Ratio: 0.5</t>
  </si>
  <si>
    <t>0.4 ÷ 0.8</t>
  </si>
  <si>
    <t>0.5 (Green)</t>
  </si>
  <si>
    <t>50 units, 8 weeks avg, £400/week</t>
  </si>
  <si>
    <r>
      <t>Delay Weeks</t>
    </r>
    <r>
      <rPr>
        <sz val="10"/>
        <rFont val="Arial"/>
        <family val="2"/>
      </rPr>
      <t xml:space="preserve">: Average weeks delay beyond planned completion
</t>
    </r>
    <r>
      <rPr>
        <b/>
        <sz val="12"/>
        <color theme="1"/>
        <rFont val="Arial"/>
        <family val="2"/>
      </rPr>
      <t>Void Cost</t>
    </r>
    <r>
      <rPr>
        <sz val="10"/>
        <rFont val="Arial"/>
        <family val="2"/>
      </rPr>
      <t xml:space="preserve">: Weekly cost of empty social housing unit
</t>
    </r>
    <r>
      <rPr>
        <b/>
        <sz val="12"/>
        <color theme="1"/>
        <rFont val="Arial"/>
        <family val="2"/>
      </rPr>
      <t>Delayed Units</t>
    </r>
    <r>
      <rPr>
        <sz val="10"/>
        <rFont val="Arial"/>
        <family val="2"/>
      </rPr>
      <t>: Number of units affected by delays</t>
    </r>
  </si>
  <si>
    <t>Delayed Units: 50
Average Delay: 8 weeks
Weekly Void Cost: £400</t>
  </si>
  <si>
    <t>50 × 8 × £400</t>
  </si>
  <si>
    <t>£160K (Green)</t>
  </si>
  <si>
    <t>Incorporated: 78, Total: 100</t>
  </si>
  <si>
    <r>
      <t>Feedback Incorporated</t>
    </r>
    <r>
      <rPr>
        <sz val="10"/>
        <rFont val="Arial"/>
        <family val="2"/>
      </rPr>
      <t xml:space="preserve">: Community suggestions/concerns addressed in project
</t>
    </r>
    <r>
      <rPr>
        <b/>
        <sz val="12"/>
        <color theme="1"/>
        <rFont val="Arial"/>
        <family val="2"/>
      </rPr>
      <t>Total Feedback</t>
    </r>
    <r>
      <rPr>
        <sz val="10"/>
        <rFont val="Arial"/>
        <family val="2"/>
      </rPr>
      <t xml:space="preserve">: All community feedback received through consultation
</t>
    </r>
    <r>
      <rPr>
        <b/>
        <sz val="12"/>
        <color theme="1"/>
        <rFont val="Arial"/>
        <family val="2"/>
      </rPr>
      <t>Effectiveness</t>
    </r>
    <r>
      <rPr>
        <sz val="10"/>
        <rFont val="Arial"/>
        <family val="2"/>
      </rPr>
      <t>: Percentage of feedback leading to project changes</t>
    </r>
  </si>
  <si>
    <t>Total Community Feedback: 100
Feedback Incorporated: 78
Feedback Not Incorporated: 22</t>
  </si>
  <si>
    <t>((Resident × 40%) + (GLA × 30%) + (Contractor × 30%))</t>
  </si>
  <si>
    <t>Residents: 82%, GLA: 78%, Contractors: 85%</t>
  </si>
  <si>
    <r>
      <t>Resident Satisfaction</t>
    </r>
    <r>
      <rPr>
        <sz val="10"/>
        <rFont val="Arial"/>
        <family val="2"/>
      </rPr>
      <t xml:space="preserve">: Survey results from affected residents
</t>
    </r>
    <r>
      <rPr>
        <b/>
        <sz val="12"/>
        <color theme="1"/>
        <rFont val="Arial"/>
        <family val="2"/>
      </rPr>
      <t>GLA Satisfaction</t>
    </r>
    <r>
      <rPr>
        <sz val="10"/>
        <rFont val="Arial"/>
        <family val="2"/>
      </rPr>
      <t xml:space="preserve">: Greater London Authority feedback on delivery
</t>
    </r>
    <r>
      <rPr>
        <b/>
        <sz val="12"/>
        <color theme="1"/>
        <rFont val="Arial"/>
        <family val="2"/>
      </rPr>
      <t>Contractor Satisfaction</t>
    </r>
    <r>
      <rPr>
        <sz val="10"/>
        <rFont val="Arial"/>
        <family val="2"/>
      </rPr>
      <t>: Contractor feedback on working relationship</t>
    </r>
  </si>
  <si>
    <t>Resident Satisfaction: 82%
GLA Satisfaction: 78%
Contractor Satisfaction: 85%</t>
  </si>
  <si>
    <t>(82×40%) + (78×30%) + (85×30%) = 32.8 + 23.4 + 25.5</t>
  </si>
  <si>
    <t>82% (Amber)</t>
  </si>
  <si>
    <t>Resolved: 47, Total: 50</t>
  </si>
  <si>
    <r>
      <t>Resolved Within SLA</t>
    </r>
    <r>
      <rPr>
        <sz val="10"/>
        <rFont val="Arial"/>
        <family val="2"/>
      </rPr>
      <t xml:space="preserve">: Complaints closed within service level agreement
</t>
    </r>
    <r>
      <rPr>
        <b/>
        <sz val="12"/>
        <color theme="1"/>
        <rFont val="Arial"/>
        <family val="2"/>
      </rPr>
      <t>Total Complaints</t>
    </r>
    <r>
      <rPr>
        <sz val="10"/>
        <rFont val="Arial"/>
        <family val="2"/>
      </rPr>
      <t xml:space="preserve">: All formal complaints received
</t>
    </r>
    <r>
      <rPr>
        <b/>
        <sz val="12"/>
        <color theme="1"/>
        <rFont val="Arial"/>
        <family val="2"/>
      </rPr>
      <t>SLA</t>
    </r>
    <r>
      <rPr>
        <sz val="10"/>
        <rFont val="Arial"/>
        <family val="2"/>
      </rPr>
      <t>: Typically 10 working days for standard complaints</t>
    </r>
  </si>
  <si>
    <t>Total Complaints: 50
Resolved Within SLA: 47
Overdue Complaints: 3</t>
  </si>
  <si>
    <t>Met: 42, Total: 50</t>
  </si>
  <si>
    <r>
      <t>Commitments Met</t>
    </r>
    <r>
      <rPr>
        <sz val="10"/>
        <rFont val="Arial"/>
        <family val="2"/>
      </rPr>
      <t xml:space="preserve">: Social value targets achieved or exceeded
</t>
    </r>
    <r>
      <rPr>
        <b/>
        <sz val="12"/>
        <color theme="1"/>
        <rFont val="Arial"/>
        <family val="2"/>
      </rPr>
      <t>Total Commitments</t>
    </r>
    <r>
      <rPr>
        <sz val="10"/>
        <rFont val="Arial"/>
        <family val="2"/>
      </rPr>
      <t xml:space="preserve">: All social value obligations in contracts
</t>
    </r>
    <r>
      <rPr>
        <b/>
        <sz val="12"/>
        <color theme="1"/>
        <rFont val="Arial"/>
        <family val="2"/>
      </rPr>
      <t>Social Value</t>
    </r>
    <r>
      <rPr>
        <sz val="10"/>
        <rFont val="Arial"/>
        <family val="2"/>
      </rPr>
      <t>: Apprenticeships, local employment, community facilities</t>
    </r>
  </si>
  <si>
    <t>Total Commitments: 50
Commitments Met: 42
Commitments Not Met: 8</t>
  </si>
  <si>
    <t>42 ÷ 50 × 100%</t>
  </si>
  <si>
    <t>84% (Amber)</t>
  </si>
  <si>
    <t>Local: 85, Apprentices: 15, Total: 500</t>
  </si>
  <si>
    <r>
      <t>Local Workers</t>
    </r>
    <r>
      <rPr>
        <sz val="10"/>
        <rFont val="Arial"/>
        <family val="2"/>
      </rPr>
      <t xml:space="preserve">: Workers with local postcodes (within 5 miles)
</t>
    </r>
    <r>
      <rPr>
        <b/>
        <sz val="12"/>
        <color theme="1"/>
        <rFont val="Arial"/>
        <family val="2"/>
      </rPr>
      <t>Apprentices</t>
    </r>
    <r>
      <rPr>
        <sz val="10"/>
        <rFont val="Arial"/>
        <family val="2"/>
      </rPr>
      <t xml:space="preserve">: Registered apprentices on construction programmes
</t>
    </r>
    <r>
      <rPr>
        <b/>
        <sz val="12"/>
        <color theme="1"/>
        <rFont val="Arial"/>
        <family val="2"/>
      </rPr>
      <t>Total Workforce</t>
    </r>
    <r>
      <rPr>
        <sz val="10"/>
        <rFont val="Arial"/>
        <family val="2"/>
      </rPr>
      <t>: All workers engaged on programme</t>
    </r>
  </si>
  <si>
    <t>Local Workers: 85
Apprentices: 15
Total Workforce: 500
Local + Apprentices: 100</t>
  </si>
  <si>
    <t>(85 + 15) ÷ 500 × 100%</t>
  </si>
  <si>
    <t>20% (Amber)</t>
  </si>
  <si>
    <t>SME: £9M, Total: £40M</t>
  </si>
  <si>
    <r>
      <t>SME Contract Value</t>
    </r>
    <r>
      <rPr>
        <sz val="10"/>
        <rFont val="Arial"/>
        <family val="2"/>
      </rPr>
      <t xml:space="preserve">: Value of contracts awarded to small/medium enterprises
</t>
    </r>
    <r>
      <rPr>
        <b/>
        <sz val="12"/>
        <color theme="1"/>
        <rFont val="Arial"/>
        <family val="2"/>
      </rPr>
      <t>Total Contract Value</t>
    </r>
    <r>
      <rPr>
        <sz val="10"/>
        <rFont val="Arial"/>
        <family val="2"/>
      </rPr>
      <t xml:space="preserve">: All contract awards in period
</t>
    </r>
    <r>
      <rPr>
        <b/>
        <sz val="12"/>
        <color theme="1"/>
        <rFont val="Arial"/>
        <family val="2"/>
      </rPr>
      <t>SME Definition</t>
    </r>
    <r>
      <rPr>
        <sz val="10"/>
        <rFont val="Arial"/>
        <family val="2"/>
      </rPr>
      <t>: &lt;250 employees, &lt;£50M turnover (UK Gov definition)</t>
    </r>
  </si>
  <si>
    <t>SME Contract Value: £9M
Total Contract Value: £40M
SME Proportion: 22.5%</t>
  </si>
  <si>
    <t>9 ÷ 40 × 100%</t>
  </si>
  <si>
    <t>23% (Amber)</t>
  </si>
  <si>
    <t>Achieved: £9.0M, Forecast: £10.0M</t>
  </si>
  <si>
    <r>
      <t>Benefits Achieved</t>
    </r>
    <r>
      <rPr>
        <sz val="10"/>
        <rFont val="Arial"/>
        <family val="2"/>
      </rPr>
      <t xml:space="preserve">: Actual measured benefits delivered post-completion
</t>
    </r>
    <r>
      <rPr>
        <b/>
        <sz val="12"/>
        <color theme="1"/>
        <rFont val="Arial"/>
        <family val="2"/>
      </rPr>
      <t>Benefits Forecast</t>
    </r>
    <r>
      <rPr>
        <sz val="10"/>
        <rFont val="Arial"/>
        <family val="2"/>
      </rPr>
      <t xml:space="preserve">: Expected benefits outlined in business case
</t>
    </r>
    <r>
      <rPr>
        <b/>
        <sz val="12"/>
        <color theme="1"/>
        <rFont val="Arial"/>
        <family val="2"/>
      </rPr>
      <t>Realisation</t>
    </r>
    <r>
      <rPr>
        <sz val="10"/>
        <rFont val="Arial"/>
        <family val="2"/>
      </rPr>
      <t>: Percentage of promised benefits actually delivered</t>
    </r>
  </si>
  <si>
    <t>Benefits Forecast: £10.0M
Benefits Achieved: £9.0M
Shortfall: £1.0M</t>
  </si>
  <si>
    <t>9.0 ÷ 10.0 × 100%</t>
  </si>
  <si>
    <t>Aligned: 19, Total: 20</t>
  </si>
  <si>
    <r>
      <t>Aligned Schemes</t>
    </r>
    <r>
      <rPr>
        <sz val="10"/>
        <rFont val="Arial"/>
        <family val="2"/>
      </rPr>
      <t xml:space="preserve">: Projects delivering outcomes matching business case objectives
</t>
    </r>
    <r>
      <rPr>
        <b/>
        <sz val="12"/>
        <color theme="1"/>
        <rFont val="Arial"/>
        <family val="2"/>
      </rPr>
      <t>BC Objectives</t>
    </r>
    <r>
      <rPr>
        <sz val="10"/>
        <rFont val="Arial"/>
        <family val="2"/>
      </rPr>
      <t xml:space="preserve">: Original business case success criteria
</t>
    </r>
    <r>
      <rPr>
        <b/>
        <sz val="12"/>
        <color theme="1"/>
        <rFont val="Arial"/>
        <family val="2"/>
      </rPr>
      <t>Alignment</t>
    </r>
    <r>
      <rPr>
        <sz val="10"/>
        <rFont val="Arial"/>
        <family val="2"/>
      </rPr>
      <t>: Project outcomes consistent with approved objectives</t>
    </r>
  </si>
  <si>
    <t>Total Schemes: 20
Aligned to BC Objectives: 19
Misaligned Schemes: 1</t>
  </si>
  <si>
    <t>19 ÷ 20 × 100%</t>
  </si>
  <si>
    <t>Delivered: 45, Approved: 47</t>
  </si>
  <si>
    <r>
      <t>Approved Scope</t>
    </r>
    <r>
      <rPr>
        <sz val="10"/>
        <rFont val="Arial"/>
        <family val="2"/>
      </rPr>
      <t xml:space="preserve">: Original scope items plus approved variations
</t>
    </r>
    <r>
      <rPr>
        <b/>
        <sz val="12"/>
        <color theme="1"/>
        <rFont val="Arial"/>
        <family val="2"/>
      </rPr>
      <t>Delivered</t>
    </r>
    <r>
      <rPr>
        <sz val="10"/>
        <rFont val="Arial"/>
        <family val="2"/>
      </rPr>
      <t xml:space="preserve">: Scope items completed to specification
</t>
    </r>
    <r>
      <rPr>
        <b/>
        <sz val="12"/>
        <color theme="1"/>
        <rFont val="Arial"/>
        <family val="2"/>
      </rPr>
      <t>Adherence</t>
    </r>
    <r>
      <rPr>
        <sz val="10"/>
        <rFont val="Arial"/>
        <family val="2"/>
      </rPr>
      <t>: Delivery of approved scope without unauthorized changes</t>
    </r>
  </si>
  <si>
    <t>Total Approved Scope Items: 47
Scope Items Delivered: 45
Outstanding Scope Items: 2</t>
  </si>
  <si>
    <t>45 ÷ 47 × 100%</t>
  </si>
  <si>
    <t>96% (Green)</t>
  </si>
  <si>
    <t>BC Budget: £25M, Actual: £26M</t>
  </si>
  <si>
    <r>
      <t>Actual Cost</t>
    </r>
    <r>
      <rPr>
        <sz val="10"/>
        <rFont val="Arial"/>
        <family val="2"/>
      </rPr>
      <t xml:space="preserve">: Final project cost including all variations
</t>
    </r>
    <r>
      <rPr>
        <b/>
        <sz val="12"/>
        <color theme="1"/>
        <rFont val="Arial"/>
        <family val="2"/>
      </rPr>
      <t>BC Approved Budget</t>
    </r>
    <r>
      <rPr>
        <sz val="10"/>
        <rFont val="Arial"/>
        <family val="2"/>
      </rPr>
      <t xml:space="preserve">: Budget approved in original business case
</t>
    </r>
    <r>
      <rPr>
        <b/>
        <sz val="12"/>
        <color theme="1"/>
        <rFont val="Arial"/>
        <family val="2"/>
      </rPr>
      <t>Cost Variance</t>
    </r>
    <r>
      <rPr>
        <sz val="10"/>
        <rFont val="Arial"/>
        <family val="2"/>
      </rPr>
      <t>: Positive = overspend, negative = underspend</t>
    </r>
  </si>
  <si>
    <t>BC Approved Budget: £25M
Actual Project Cost: £26M
Budget Variance: £1M overspend</t>
  </si>
  <si>
    <t>(26 - 25) ÷ 25 × 100%</t>
  </si>
  <si>
    <t>000s</t>
  </si>
  <si>
    <t>&lt;300000</t>
  </si>
  <si>
    <t>300000-600000</t>
  </si>
  <si>
    <t>&gt;600000</t>
  </si>
  <si>
    <t>(Delay Weeks × void cost × Delayed Units)</t>
  </si>
  <si>
    <t xml:space="preserve"> </t>
  </si>
  <si>
    <t>-</t>
  </si>
  <si>
    <t>Poor delivery execution directly undermines programme success across time and budget metrics</t>
  </si>
  <si>
    <t>KPI at severe risk of dropping to 70-80% range if delivery issues persist</t>
  </si>
  <si>
    <t>Financial instability makes accurate forecasting harder due to volatile costs and funding uncertainty</t>
  </si>
  <si>
    <t>KPI may deteriorate to 95-100% accuracy as financial pressures increase forecasting difficulty</t>
  </si>
  <si>
    <t>Delivery execution problems create schedule unpredictability and unreliable planning</t>
  </si>
  <si>
    <t>KPI likely to fall to 90-95% range as delivery issues compound scheduling challenges</t>
  </si>
  <si>
    <t>Financial constraints limit ability to manage changes effectively and may force more variations</t>
  </si>
  <si>
    <t>KPI could worsen to 7-10% if financial pressures increase change frequency and complexity</t>
  </si>
  <si>
    <t>Strategic drift may lead to budget allocation inefficiencies and conflicting spending priorities</t>
  </si>
  <si>
    <t>KPI at risk of declining to 70-75% if strategic clarity isn't restored</t>
  </si>
  <si>
    <t>Strategic misalignment often leads to reactive spending and poor contingency management</t>
  </si>
  <si>
    <t>KPI may drop to 35-40% as strategic confusion drives unnecessary contingency use</t>
  </si>
  <si>
    <t>Technical integration issues may slow defect resolution but strong current performance provides buffer</t>
  </si>
  <si>
    <t>KPI expected to maintain 85-90% despite technical challenges</t>
  </si>
  <si>
    <t>High stakeholder risk offset by exceptional resident satisfaction - community support remains strong</t>
  </si>
  <si>
    <t>KPI likely to remain 120-140% as resident satisfaction buffers broader stakeholder concerns</t>
  </si>
  <si>
    <t>Technical integration problems directly impact quality delivery and standards compliance</t>
  </si>
  <si>
    <t>KPI at severe risk of falling to 35-45% if technical issues aren't resolved quickly</t>
  </si>
  <si>
    <t>Supply chain pressures exist but supplier stability remains high, indicating good relationship management</t>
  </si>
  <si>
    <t>KPI expected to maintain 85-90% as strong relationships weather supply chain challenges</t>
  </si>
  <si>
    <t>Resource constraints may impact reporting capability and administrative functions</t>
  </si>
  <si>
    <t>KPI may decline to 85-90% if resource pressures affect reporting team capacity</t>
  </si>
  <si>
    <t>Supply chain risks manageable given strong contractor performance and established relationships</t>
  </si>
  <si>
    <t>KPI likely to maintain 80-85% performance despite supply chain pressures</t>
  </si>
  <si>
    <t>Regulatory compliance pressures may slow approvals and increase rejection rates</t>
  </si>
  <si>
    <t>KPI at risk of declining to 80-85% if regulatory environment becomes more challenging</t>
  </si>
  <si>
    <t>Safety performance excellent despite regulatory pressures, demonstrating strong safety culture</t>
  </si>
  <si>
    <t>KPI expected to maintain 0.4-0.6 range as safety remains priority despite other pressures</t>
  </si>
  <si>
    <t>Resource constraints directly drive delivery delays and associated costs</t>
  </si>
  <si>
    <t>KPI likely to worsen to £300-400K range if resource issues aren't addressed</t>
  </si>
  <si>
    <t>High stakeholder risk may increase complaint volumes and complexity, straining resolution capacity</t>
  </si>
  <si>
    <t>KPI may decline to 85-90% if stakeholder confidence issues generate more difficult complaints</t>
  </si>
  <si>
    <t>Very high community risk directly threatens social value delivery and community benefit programs</t>
  </si>
  <si>
    <t>KPI at severe risk of falling to 65-75% if community relationships deteriorate further</t>
  </si>
  <si>
    <t>Extremely high community risk indicates serious engagement breakdown requiring immediate intervention</t>
  </si>
  <si>
    <t>KPI likely to fall to 60-70% unless urgent community relationship repair undertaken</t>
  </si>
  <si>
    <r>
      <rPr>
        <b/>
        <sz val="12"/>
        <rFont val="Arial"/>
        <family val="2"/>
      </rPr>
      <t xml:space="preserve">Critical Action Required </t>
    </r>
    <r>
      <rPr>
        <sz val="12"/>
        <rFont val="Arial"/>
        <family val="2"/>
      </rPr>
      <t>- Delivery risk threatens core programme performance</t>
    </r>
  </si>
  <si>
    <r>
      <rPr>
        <b/>
        <sz val="12"/>
        <rFont val="Arial"/>
        <family val="2"/>
      </rPr>
      <t>Watch closely</t>
    </r>
    <r>
      <rPr>
        <sz val="12"/>
        <rFont val="Arial"/>
        <family val="2"/>
      </rPr>
      <t xml:space="preserve"> - Financial stress will impact forecasting reliability</t>
    </r>
  </si>
  <si>
    <r>
      <rPr>
        <b/>
        <sz val="12"/>
        <rFont val="Arial"/>
        <family val="2"/>
      </rPr>
      <t>Urgent intervention needed</t>
    </r>
    <r>
      <rPr>
        <sz val="12"/>
        <rFont val="Arial"/>
        <family val="2"/>
      </rPr>
      <t xml:space="preserve"> - Schedule reliability at risk from delivery problems</t>
    </r>
  </si>
  <si>
    <r>
      <rPr>
        <b/>
        <sz val="12"/>
        <rFont val="Arial"/>
        <family val="2"/>
      </rPr>
      <t>Concerning trend</t>
    </r>
    <r>
      <rPr>
        <sz val="12"/>
        <rFont val="Arial"/>
        <family val="2"/>
      </rPr>
      <t xml:space="preserve"> - Financial stress driving more changes</t>
    </r>
  </si>
  <si>
    <r>
      <rPr>
        <b/>
        <sz val="12"/>
        <rFont val="Arial"/>
        <family val="2"/>
      </rPr>
      <t xml:space="preserve">Realignment needed </t>
    </r>
    <r>
      <rPr>
        <sz val="12"/>
        <rFont val="Arial"/>
        <family val="2"/>
      </rPr>
      <t>- Budget efficiency suffering from strategic uncertainty</t>
    </r>
  </si>
  <si>
    <r>
      <rPr>
        <b/>
        <sz val="12"/>
        <rFont val="Arial"/>
        <family val="2"/>
      </rPr>
      <t>Strategy review required</t>
    </r>
    <r>
      <rPr>
        <sz val="12"/>
        <rFont val="Arial"/>
        <family val="2"/>
      </rPr>
      <t xml:space="preserve"> - Contingency preservation needs clearer strategic direction</t>
    </r>
  </si>
  <si>
    <r>
      <rPr>
        <b/>
        <sz val="12"/>
        <rFont val="Arial"/>
        <family val="2"/>
      </rPr>
      <t xml:space="preserve">Manageable </t>
    </r>
    <r>
      <rPr>
        <sz val="12"/>
        <rFont val="Arial"/>
        <family val="2"/>
      </rPr>
      <t>- Technical issues contained, defect resolution remains strong</t>
    </r>
  </si>
  <si>
    <r>
      <rPr>
        <b/>
        <sz val="12"/>
        <rFont val="Arial"/>
        <family val="2"/>
      </rPr>
      <t>Positive outcome</t>
    </r>
    <r>
      <rPr>
        <sz val="12"/>
        <rFont val="Arial"/>
        <family val="2"/>
      </rPr>
      <t xml:space="preserve"> - Resident satisfaction protecting overall stakeholder confidence</t>
    </r>
  </si>
  <si>
    <r>
      <rPr>
        <b/>
        <sz val="12"/>
        <rFont val="Arial"/>
        <family val="2"/>
      </rPr>
      <t>Resilient position</t>
    </r>
    <r>
      <rPr>
        <sz val="12"/>
        <rFont val="Arial"/>
        <family val="2"/>
      </rPr>
      <t xml:space="preserve"> - Good supplier relationships providing stability</t>
    </r>
  </si>
  <si>
    <r>
      <rPr>
        <b/>
        <sz val="12"/>
        <rFont val="Arial"/>
        <family val="2"/>
      </rPr>
      <t>Resource pressure building</t>
    </r>
    <r>
      <rPr>
        <sz val="12"/>
        <rFont val="Arial"/>
        <family val="2"/>
      </rPr>
      <t xml:space="preserve"> - Reporting quality at risk from capacity constraints</t>
    </r>
  </si>
  <si>
    <r>
      <rPr>
        <b/>
        <sz val="12"/>
        <rFont val="Arial"/>
        <family val="2"/>
      </rPr>
      <t xml:space="preserve">Stable performance </t>
    </r>
    <r>
      <rPr>
        <sz val="12"/>
        <rFont val="Arial"/>
        <family val="2"/>
      </rPr>
      <t>- Strong contractor relationships mitigating supply chain risks</t>
    </r>
  </si>
  <si>
    <r>
      <rPr>
        <b/>
        <sz val="12"/>
        <rFont val="Arial"/>
        <family val="2"/>
      </rPr>
      <t xml:space="preserve">Compliance monitoring essential </t>
    </r>
    <r>
      <rPr>
        <sz val="12"/>
        <rFont val="Arial"/>
        <family val="2"/>
      </rPr>
      <t>- Regulatory pressures building</t>
    </r>
  </si>
  <si>
    <r>
      <rPr>
        <b/>
        <sz val="12"/>
        <rFont val="Arial"/>
        <family val="2"/>
      </rPr>
      <t xml:space="preserve">Excellent safety culture </t>
    </r>
    <r>
      <rPr>
        <sz val="12"/>
        <rFont val="Arial"/>
        <family val="2"/>
      </rPr>
      <t>- Regulatory risks not affecting core safety performance</t>
    </r>
  </si>
  <si>
    <r>
      <rPr>
        <b/>
        <sz val="12"/>
        <rFont val="Arial"/>
        <family val="2"/>
      </rPr>
      <t xml:space="preserve">Resource crisis developing </t>
    </r>
    <r>
      <rPr>
        <sz val="12"/>
        <rFont val="Arial"/>
        <family val="2"/>
      </rPr>
      <t>- Delays escalating due to capacity constraints</t>
    </r>
  </si>
  <si>
    <r>
      <rPr>
        <b/>
        <sz val="12"/>
        <rFont val="Arial"/>
        <family val="2"/>
      </rPr>
      <t xml:space="preserve">Stakeholder management critical </t>
    </r>
    <r>
      <rPr>
        <sz val="12"/>
        <rFont val="Arial"/>
        <family val="2"/>
      </rPr>
      <t>- Complaint resolution under pressure</t>
    </r>
  </si>
  <si>
    <r>
      <rPr>
        <b/>
        <sz val="12"/>
        <rFont val="Arial"/>
        <family val="2"/>
      </rPr>
      <t>Community relations crisis</t>
    </r>
    <r>
      <rPr>
        <sz val="12"/>
        <rFont val="Arial"/>
        <family val="2"/>
      </rPr>
      <t xml:space="preserve"> - Social value delivery severely threatened</t>
    </r>
  </si>
  <si>
    <r>
      <rPr>
        <b/>
        <sz val="12"/>
        <rFont val="Arial"/>
        <family val="2"/>
      </rPr>
      <t>Emergency community intervention required</t>
    </r>
    <r>
      <rPr>
        <sz val="12"/>
        <rFont val="Arial"/>
        <family val="2"/>
      </rPr>
      <t xml:space="preserve"> - Engagement breakdown critical</t>
    </r>
  </si>
  <si>
    <r>
      <rPr>
        <b/>
        <sz val="12"/>
        <rFont val="Arial"/>
        <family val="2"/>
      </rPr>
      <t>Critical quality crisis</t>
    </r>
    <r>
      <rPr>
        <sz val="12"/>
        <rFont val="Arial"/>
        <family val="2"/>
      </rPr>
      <t xml:space="preserve"> - Technical problems severely compromising quality</t>
    </r>
  </si>
  <si>
    <t>Excel Automation System – User Guidelines</t>
  </si>
  <si>
    <t>This document explains the important rules for using the automation system.</t>
  </si>
  <si>
    <t>For it to work correctly, follow these rules:</t>
  </si>
  <si>
    <t>Allowed:</t>
  </si>
  <si>
    <t>Use clear arithmetic with proper spacing or symbols.</t>
  </si>
  <si>
    <t>Examples:</t>
  </si>
  <si>
    <t>V1 + V2 - V3</t>
  </si>
  <si>
    <t>V1 * 100 / V2</t>
  </si>
  <si>
    <t>(V1 + V2) / 2</t>
  </si>
  <si>
    <t>V1 * (V2 + V3)</t>
  </si>
  <si>
    <t>Multiplication can be written as * or x (not the letter x)</t>
  </si>
  <si>
    <t>Division can be written as / or ÷.</t>
  </si>
  <si>
    <t>Percentages % are supported.</t>
  </si>
  <si>
    <t>Parentheses () are supported.</t>
  </si>
  <si>
    <t>Not Allowed (Will Break the code):</t>
  </si>
  <si>
    <t>Writing numbers directly next to variables without a symbol.</t>
  </si>
  <si>
    <t>Using functions like SUM(), IF(), ROUND().</t>
  </si>
  <si>
    <t>Only basic arithmetic (+, −, *, ÷, (), %) is supported.</t>
  </si>
  <si>
    <t>special characters outside of allowed symbols.</t>
  </si>
  <si>
    <t>95 % Of defects resolved</t>
  </si>
  <si>
    <r>
      <rPr>
        <b/>
        <sz val="12"/>
        <color theme="1"/>
        <rFont val="Arial"/>
        <family val="2"/>
      </rPr>
      <t xml:space="preserve">Budget: </t>
    </r>
    <r>
      <rPr>
        <sz val="10"/>
        <rFont val="Arial"/>
        <family val="2"/>
      </rPr>
      <t xml:space="preserve">12/54 = 22% affected = 78% score
</t>
    </r>
    <r>
      <rPr>
        <b/>
        <sz val="12"/>
        <color theme="1"/>
        <rFont val="Arial"/>
        <family val="2"/>
      </rPr>
      <t xml:space="preserve">Cost: </t>
    </r>
    <r>
      <rPr>
        <sz val="10"/>
        <rFont val="Arial"/>
        <family val="2"/>
      </rPr>
      <t xml:space="preserve">£2.3M/£50M = 4.6% exposure = 95% score
</t>
    </r>
    <r>
      <rPr>
        <b/>
        <sz val="10"/>
        <rFont val="Arial"/>
        <family val="2"/>
      </rPr>
      <t>Funding:</t>
    </r>
    <r>
      <rPr>
        <sz val="10"/>
        <rFont val="Arial"/>
        <family val="2"/>
      </rPr>
      <t xml:space="preserve"> £15M/£25M = 60% at risk = 40% score
</t>
    </r>
    <r>
      <rPr>
        <b/>
        <sz val="10"/>
        <rFont val="Arial"/>
        <family val="2"/>
      </rPr>
      <t>Revenue:</t>
    </r>
    <r>
      <rPr>
        <sz val="10"/>
        <rFont val="Arial"/>
        <family val="2"/>
      </rPr>
      <t xml:space="preserve"> £8M/£20M = 40% shortfall = 60% score
</t>
    </r>
    <r>
      <rPr>
        <b/>
        <sz val="10"/>
        <rFont val="Arial"/>
        <family val="2"/>
      </rPr>
      <t>Market</t>
    </r>
    <r>
      <rPr>
        <sz val="10"/>
        <rFont val="Arial"/>
        <family val="2"/>
      </rPr>
      <t>: 8% value drop = 42% score</t>
    </r>
  </si>
  <si>
    <r>
      <rPr>
        <b/>
        <sz val="10"/>
        <rFont val="Arial"/>
        <family val="2"/>
      </rPr>
      <t>Input A:</t>
    </r>
    <r>
      <rPr>
        <sz val="10"/>
        <rFont val="Arial"/>
        <family val="2"/>
      </rPr>
      <t xml:space="preserve"> Contractor: 83%, 
</t>
    </r>
    <r>
      <rPr>
        <b/>
        <sz val="10"/>
        <rFont val="Arial"/>
        <family val="2"/>
      </rPr>
      <t xml:space="preserve">Input B: </t>
    </r>
    <r>
      <rPr>
        <sz val="10"/>
        <rFont val="Arial"/>
        <family val="2"/>
      </rPr>
      <t xml:space="preserve">Materials: 65%, 
</t>
    </r>
    <r>
      <rPr>
        <b/>
        <sz val="10"/>
        <rFont val="Arial"/>
        <family val="2"/>
      </rPr>
      <t>Input C:</t>
    </r>
    <r>
      <rPr>
        <sz val="10"/>
        <rFont val="Arial"/>
        <family val="2"/>
      </rPr>
      <t xml:space="preserve"> Safety: 96%, 
</t>
    </r>
    <r>
      <rPr>
        <b/>
        <sz val="10"/>
        <rFont val="Arial"/>
        <family val="2"/>
      </rPr>
      <t>Input D:</t>
    </r>
    <r>
      <rPr>
        <sz val="10"/>
        <rFont val="Arial"/>
        <family val="2"/>
      </rPr>
      <t xml:space="preserve"> Quality: 95%, 
</t>
    </r>
    <r>
      <rPr>
        <b/>
        <sz val="10"/>
        <rFont val="Arial"/>
        <family val="2"/>
      </rPr>
      <t>Input E:</t>
    </r>
    <r>
      <rPr>
        <sz val="10"/>
        <rFont val="Arial"/>
        <family val="2"/>
      </rPr>
      <t xml:space="preserve"> Risk Mgmt: 75%</t>
    </r>
  </si>
  <si>
    <t xml:space="preserve">Impact Score </t>
  </si>
  <si>
    <t xml:space="preserve">Probability </t>
  </si>
  <si>
    <t>Band</t>
  </si>
  <si>
    <t>Financial Impact (£)</t>
  </si>
  <si>
    <t>&lt; £250,000</t>
  </si>
  <si>
    <t>£250,000 – £1,000,000</t>
  </si>
  <si>
    <t>£1,000,000 – £5,000,000</t>
  </si>
  <si>
    <t>£5,000,000 – £15,000,000</t>
  </si>
  <si>
    <t>&gt; £15,000,000</t>
  </si>
  <si>
    <t>88 %</t>
  </si>
  <si>
    <t>Richard Ekelegbu</t>
  </si>
  <si>
    <t>Tier</t>
  </si>
  <si>
    <t>Tier 3</t>
  </si>
  <si>
    <t>Tier 2</t>
  </si>
  <si>
    <t>Tier 1</t>
  </si>
  <si>
    <t xml:space="preserve">(Contractor Stability* 30% + Material Security*25% + Safety Compliance*25% + Quality Standards*15% + Risk Management*5%) </t>
  </si>
  <si>
    <t>88 % Of cost forecasts accurate</t>
  </si>
  <si>
    <t>79.4% Of supply chain disruption risk</t>
  </si>
  <si>
    <t/>
  </si>
  <si>
    <t>Margaret Burrell</t>
  </si>
  <si>
    <t xml:space="preserve"> Of reports submitted on time</t>
  </si>
  <si>
    <t xml:space="preserve"> Of contractor targets met</t>
  </si>
  <si>
    <t xml:space="preserve"> Of safety targets met</t>
  </si>
  <si>
    <r>
      <t>1.</t>
    </r>
    <r>
      <rPr>
        <b/>
        <sz val="7"/>
        <rFont val="Arial"/>
        <family val="2"/>
      </rPr>
      <t xml:space="preserve">     </t>
    </r>
    <r>
      <rPr>
        <b/>
        <sz val="12"/>
        <rFont val="Arial"/>
        <family val="2"/>
      </rPr>
      <t>Sheets – Do Not Rename or Delete</t>
    </r>
  </si>
  <si>
    <r>
      <t>·</t>
    </r>
    <r>
      <rPr>
        <sz val="7"/>
        <rFont val="Arial"/>
        <family val="2"/>
      </rPr>
      <t xml:space="preserve">       </t>
    </r>
    <r>
      <rPr>
        <sz val="12"/>
        <rFont val="Arial"/>
        <family val="2"/>
      </rPr>
      <t xml:space="preserve">Keep all </t>
    </r>
    <r>
      <rPr>
        <b/>
        <sz val="12"/>
        <rFont val="Arial"/>
        <family val="2"/>
      </rPr>
      <t>sheet names exactly as they are</t>
    </r>
    <r>
      <rPr>
        <sz val="12"/>
        <rFont val="Arial"/>
        <family val="2"/>
      </rPr>
      <t>.</t>
    </r>
  </si>
  <si>
    <r>
      <t>o</t>
    </r>
    <r>
      <rPr>
        <sz val="7"/>
        <rFont val="Arial"/>
        <family val="2"/>
      </rPr>
      <t xml:space="preserve">   </t>
    </r>
    <r>
      <rPr>
        <sz val="12"/>
        <rFont val="Arial"/>
        <family val="2"/>
      </rPr>
      <t>Example: Risks, Issues, KRI monthly changes...</t>
    </r>
  </si>
  <si>
    <r>
      <t>·</t>
    </r>
    <r>
      <rPr>
        <sz val="7"/>
        <rFont val="Arial"/>
        <family val="2"/>
      </rPr>
      <t xml:space="preserve">       </t>
    </r>
    <r>
      <rPr>
        <sz val="12"/>
        <rFont val="Arial"/>
        <family val="2"/>
      </rPr>
      <t>Do not add spaces, extra words, or change capitalization.</t>
    </r>
  </si>
  <si>
    <r>
      <t>·</t>
    </r>
    <r>
      <rPr>
        <sz val="7"/>
        <rFont val="Arial"/>
        <family val="2"/>
      </rPr>
      <t xml:space="preserve">       </t>
    </r>
    <r>
      <rPr>
        <sz val="12"/>
        <rFont val="Arial"/>
        <family val="2"/>
      </rPr>
      <t>Do not delete or move sheets — the VBA code refers to them directly.</t>
    </r>
  </si>
  <si>
    <r>
      <t>2.</t>
    </r>
    <r>
      <rPr>
        <b/>
        <sz val="7"/>
        <rFont val="Arial"/>
        <family val="2"/>
      </rPr>
      <t xml:space="preserve">     </t>
    </r>
    <r>
      <rPr>
        <b/>
        <sz val="12"/>
        <rFont val="Arial"/>
        <family val="2"/>
      </rPr>
      <t>Tables – Do Not Modify</t>
    </r>
  </si>
  <si>
    <r>
      <t>·</t>
    </r>
    <r>
      <rPr>
        <sz val="7"/>
        <rFont val="Arial"/>
        <family val="2"/>
      </rPr>
      <t xml:space="preserve">       </t>
    </r>
    <r>
      <rPr>
        <sz val="12"/>
        <rFont val="Arial"/>
        <family val="2"/>
      </rPr>
      <t xml:space="preserve">Keep all </t>
    </r>
    <r>
      <rPr>
        <b/>
        <sz val="12"/>
        <rFont val="Arial"/>
        <family val="2"/>
      </rPr>
      <t>table names</t>
    </r>
    <r>
      <rPr>
        <sz val="12"/>
        <rFont val="Arial"/>
        <family val="2"/>
      </rPr>
      <t xml:space="preserve"> (Excel structured tables) as they are.</t>
    </r>
  </si>
  <si>
    <r>
      <t>o</t>
    </r>
    <r>
      <rPr>
        <sz val="7"/>
        <rFont val="Arial"/>
        <family val="2"/>
      </rPr>
      <t xml:space="preserve">   </t>
    </r>
    <r>
      <rPr>
        <sz val="12"/>
        <rFont val="Arial"/>
        <family val="2"/>
      </rPr>
      <t>Example: RISK_table, KRI_monthly.</t>
    </r>
  </si>
  <si>
    <r>
      <t>·</t>
    </r>
    <r>
      <rPr>
        <sz val="7"/>
        <rFont val="Arial"/>
        <family val="2"/>
      </rPr>
      <t xml:space="preserve">       </t>
    </r>
    <r>
      <rPr>
        <sz val="12"/>
        <rFont val="Arial"/>
        <family val="2"/>
      </rPr>
      <t>Do not rename or delete tables.</t>
    </r>
  </si>
  <si>
    <r>
      <t>·</t>
    </r>
    <r>
      <rPr>
        <sz val="7"/>
        <rFont val="Arial"/>
        <family val="2"/>
      </rPr>
      <t xml:space="preserve">       </t>
    </r>
    <r>
      <rPr>
        <sz val="12"/>
        <rFont val="Arial"/>
        <family val="2"/>
      </rPr>
      <t>You can insert new columns to any table (for example to add notes…)</t>
    </r>
  </si>
  <si>
    <r>
      <t>3.</t>
    </r>
    <r>
      <rPr>
        <b/>
        <sz val="7"/>
        <rFont val="Arial"/>
        <family val="2"/>
      </rPr>
      <t xml:space="preserve">     </t>
    </r>
    <r>
      <rPr>
        <b/>
        <sz val="12"/>
        <rFont val="Arial"/>
        <family val="2"/>
      </rPr>
      <t>Columns &amp; Headers</t>
    </r>
  </si>
  <si>
    <r>
      <t>·</t>
    </r>
    <r>
      <rPr>
        <sz val="7"/>
        <rFont val="Arial"/>
        <family val="2"/>
      </rPr>
      <t xml:space="preserve">       </t>
    </r>
    <r>
      <rPr>
        <sz val="12"/>
        <rFont val="Arial"/>
        <family val="2"/>
      </rPr>
      <t xml:space="preserve">The existing Column headers in each table must remain </t>
    </r>
    <r>
      <rPr>
        <b/>
        <sz val="12"/>
        <rFont val="Arial"/>
        <family val="2"/>
      </rPr>
      <t>unchanged</t>
    </r>
    <r>
      <rPr>
        <sz val="12"/>
        <rFont val="Arial"/>
        <family val="2"/>
      </rPr>
      <t>.</t>
    </r>
  </si>
  <si>
    <r>
      <t>o</t>
    </r>
    <r>
      <rPr>
        <sz val="7"/>
        <rFont val="Arial"/>
        <family val="2"/>
      </rPr>
      <t xml:space="preserve">   </t>
    </r>
    <r>
      <rPr>
        <sz val="12"/>
        <rFont val="Arial"/>
        <family val="2"/>
      </rPr>
      <t>Example: Current Value, Green, KRI…</t>
    </r>
  </si>
  <si>
    <r>
      <t>·</t>
    </r>
    <r>
      <rPr>
        <sz val="7"/>
        <rFont val="Arial"/>
        <family val="2"/>
      </rPr>
      <t xml:space="preserve">       </t>
    </r>
    <r>
      <rPr>
        <sz val="12"/>
        <rFont val="Arial"/>
        <family val="2"/>
      </rPr>
      <t>Do not merge cells, or change header names.</t>
    </r>
  </si>
  <si>
    <r>
      <t>·</t>
    </r>
    <r>
      <rPr>
        <sz val="7"/>
        <rFont val="Arial"/>
        <family val="2"/>
      </rPr>
      <t xml:space="preserve">       </t>
    </r>
    <r>
      <rPr>
        <sz val="12"/>
        <rFont val="Arial"/>
        <family val="2"/>
      </rPr>
      <t xml:space="preserve">Only fill in data in the </t>
    </r>
    <r>
      <rPr>
        <b/>
        <sz val="12"/>
        <rFont val="Arial"/>
        <family val="2"/>
      </rPr>
      <t>designated input columns</t>
    </r>
  </si>
  <si>
    <r>
      <t>4.</t>
    </r>
    <r>
      <rPr>
        <b/>
        <sz val="7"/>
        <rFont val="Arial"/>
        <family val="2"/>
      </rPr>
      <t xml:space="preserve">     </t>
    </r>
    <r>
      <rPr>
        <b/>
        <sz val="12"/>
        <rFont val="Arial"/>
        <family val="2"/>
      </rPr>
      <t>Cells &amp; Ranges</t>
    </r>
  </si>
  <si>
    <r>
      <t>·</t>
    </r>
    <r>
      <rPr>
        <sz val="7"/>
        <rFont val="Arial"/>
        <family val="2"/>
      </rPr>
      <t xml:space="preserve">       </t>
    </r>
    <r>
      <rPr>
        <sz val="12"/>
        <rFont val="Arial"/>
        <family val="2"/>
      </rPr>
      <t xml:space="preserve">Do not delete or overwrite </t>
    </r>
    <r>
      <rPr>
        <b/>
        <sz val="12"/>
        <rFont val="Arial"/>
        <family val="2"/>
      </rPr>
      <t>formulas</t>
    </r>
    <r>
      <rPr>
        <sz val="12"/>
        <rFont val="Arial"/>
        <family val="2"/>
      </rPr>
      <t xml:space="preserve"> already present.</t>
    </r>
  </si>
  <si>
    <r>
      <t>·</t>
    </r>
    <r>
      <rPr>
        <sz val="7"/>
        <rFont val="Arial"/>
        <family val="2"/>
      </rPr>
      <t xml:space="preserve">       </t>
    </r>
    <r>
      <rPr>
        <sz val="12"/>
        <rFont val="Arial"/>
        <family val="2"/>
      </rPr>
      <t>Do not clear formatting or named ranges (these are linked to VBA).</t>
    </r>
  </si>
  <si>
    <r>
      <t>·</t>
    </r>
    <r>
      <rPr>
        <sz val="7"/>
        <rFont val="Arial"/>
        <family val="2"/>
      </rPr>
      <t xml:space="preserve">       </t>
    </r>
    <r>
      <rPr>
        <sz val="12"/>
        <rFont val="Arial"/>
        <family val="2"/>
      </rPr>
      <t xml:space="preserve">Only enter data in </t>
    </r>
    <r>
      <rPr>
        <b/>
        <sz val="12"/>
        <rFont val="Arial"/>
        <family val="2"/>
      </rPr>
      <t>white/unlocked cells</t>
    </r>
    <r>
      <rPr>
        <sz val="12"/>
        <rFont val="Arial"/>
        <family val="2"/>
      </rPr>
      <t xml:space="preserve"> (if sheet protection is used).</t>
    </r>
  </si>
  <si>
    <r>
      <t>5.</t>
    </r>
    <r>
      <rPr>
        <b/>
        <sz val="7"/>
        <rFont val="Arial"/>
        <family val="2"/>
      </rPr>
      <t xml:space="preserve">     </t>
    </r>
    <r>
      <rPr>
        <b/>
        <sz val="12"/>
        <rFont val="Arial"/>
        <family val="2"/>
      </rPr>
      <t>Formula Entry Rules</t>
    </r>
  </si>
  <si>
    <r>
      <t xml:space="preserve">The system includes a </t>
    </r>
    <r>
      <rPr>
        <b/>
        <sz val="12"/>
        <rFont val="Arial"/>
        <family val="2"/>
      </rPr>
      <t>formula parser</t>
    </r>
    <r>
      <rPr>
        <sz val="12"/>
        <rFont val="Arial"/>
        <family val="2"/>
      </rPr>
      <t xml:space="preserve"> that reads formulas you enter.</t>
    </r>
  </si>
  <si>
    <r>
      <t xml:space="preserve">Wrong: V1 + </t>
    </r>
    <r>
      <rPr>
        <u/>
        <sz val="12"/>
        <color rgb="FFEE0000"/>
        <rFont val="Arial"/>
        <family val="2"/>
      </rPr>
      <t>400</t>
    </r>
    <r>
      <rPr>
        <sz val="12"/>
        <color rgb="FFEE0000"/>
        <rFont val="Arial"/>
        <family val="2"/>
      </rPr>
      <t xml:space="preserve"> </t>
    </r>
    <r>
      <rPr>
        <sz val="12"/>
        <rFont val="Arial"/>
        <family val="2"/>
      </rPr>
      <t>V2 + V3</t>
    </r>
  </si>
  <si>
    <r>
      <t xml:space="preserve">Correct: V1 + </t>
    </r>
    <r>
      <rPr>
        <u/>
        <sz val="12"/>
        <color rgb="FF4EA72E"/>
        <rFont val="Arial"/>
        <family val="2"/>
      </rPr>
      <t>400 *</t>
    </r>
    <r>
      <rPr>
        <sz val="12"/>
        <rFont val="Arial"/>
        <family val="2"/>
      </rPr>
      <t xml:space="preserve"> V2 + V3</t>
    </r>
  </si>
  <si>
    <r>
      <t>6.</t>
    </r>
    <r>
      <rPr>
        <b/>
        <sz val="7"/>
        <rFont val="Arial"/>
        <family val="2"/>
      </rPr>
      <t xml:space="preserve">     </t>
    </r>
    <r>
      <rPr>
        <b/>
        <sz val="12"/>
        <rFont val="Arial"/>
        <family val="2"/>
      </rPr>
      <t>General Do’s and Don’ts</t>
    </r>
  </si>
  <si>
    <r>
      <t>·</t>
    </r>
    <r>
      <rPr>
        <sz val="7"/>
        <rFont val="Arial"/>
        <family val="2"/>
      </rPr>
      <t xml:space="preserve">       </t>
    </r>
    <r>
      <rPr>
        <sz val="12"/>
        <rFont val="Arial"/>
        <family val="2"/>
      </rPr>
      <t xml:space="preserve">Do </t>
    </r>
    <r>
      <rPr>
        <b/>
        <sz val="12"/>
        <rFont val="Arial"/>
        <family val="2"/>
      </rPr>
      <t>enter values and formulas only where instructed</t>
    </r>
    <r>
      <rPr>
        <sz val="12"/>
        <rFont val="Arial"/>
        <family val="2"/>
      </rPr>
      <t xml:space="preserve"> (Input A, Input B…)</t>
    </r>
  </si>
  <si>
    <r>
      <t>·</t>
    </r>
    <r>
      <rPr>
        <sz val="7"/>
        <rFont val="Arial"/>
        <family val="2"/>
      </rPr>
      <t xml:space="preserve">       </t>
    </r>
    <r>
      <rPr>
        <sz val="12"/>
        <rFont val="Arial"/>
        <family val="2"/>
      </rPr>
      <t xml:space="preserve">Do </t>
    </r>
    <r>
      <rPr>
        <b/>
        <sz val="12"/>
        <rFont val="Arial"/>
        <family val="2"/>
      </rPr>
      <t>save regularly</t>
    </r>
    <r>
      <rPr>
        <sz val="12"/>
        <rFont val="Arial"/>
        <family val="2"/>
      </rPr>
      <t xml:space="preserve"> before running macros.</t>
    </r>
  </si>
  <si>
    <r>
      <t>·</t>
    </r>
    <r>
      <rPr>
        <sz val="7"/>
        <rFont val="Arial"/>
        <family val="2"/>
      </rPr>
      <t xml:space="preserve">       </t>
    </r>
    <r>
      <rPr>
        <sz val="12"/>
        <rFont val="Arial"/>
        <family val="2"/>
      </rPr>
      <t xml:space="preserve">Don’t </t>
    </r>
    <r>
      <rPr>
        <b/>
        <sz val="12"/>
        <rFont val="Arial"/>
        <family val="2"/>
      </rPr>
      <t>copy/paste entire sheets</t>
    </r>
    <r>
      <rPr>
        <sz val="12"/>
        <rFont val="Arial"/>
        <family val="2"/>
      </rPr>
      <t xml:space="preserve"> — this may break references.</t>
    </r>
  </si>
  <si>
    <r>
      <t>·</t>
    </r>
    <r>
      <rPr>
        <sz val="7"/>
        <rFont val="Arial"/>
        <family val="2"/>
      </rPr>
      <t xml:space="preserve">       </t>
    </r>
    <r>
      <rPr>
        <sz val="12"/>
        <rFont val="Arial"/>
        <family val="2"/>
      </rPr>
      <t xml:space="preserve">Don’t </t>
    </r>
    <r>
      <rPr>
        <b/>
        <sz val="12"/>
        <rFont val="Arial"/>
        <family val="2"/>
      </rPr>
      <t>disable macros</t>
    </r>
    <r>
      <rPr>
        <sz val="12"/>
        <rFont val="Arial"/>
        <family val="2"/>
      </rPr>
      <t xml:space="preserve"> — the system won’t function.</t>
    </r>
  </si>
  <si>
    <r>
      <t>7.</t>
    </r>
    <r>
      <rPr>
        <b/>
        <sz val="7"/>
        <rFont val="Arial"/>
        <family val="2"/>
      </rPr>
      <t xml:space="preserve">     </t>
    </r>
    <r>
      <rPr>
        <b/>
        <sz val="12"/>
        <rFont val="Arial"/>
        <family val="2"/>
      </rPr>
      <t>If Something Breaks</t>
    </r>
  </si>
  <si>
    <r>
      <t>·</t>
    </r>
    <r>
      <rPr>
        <sz val="7"/>
        <rFont val="Arial"/>
        <family val="2"/>
      </rPr>
      <t xml:space="preserve">       </t>
    </r>
    <r>
      <rPr>
        <sz val="12"/>
        <rFont val="Arial"/>
        <family val="2"/>
      </rPr>
      <t>If a formula gives unexpected results:</t>
    </r>
  </si>
  <si>
    <r>
      <t>1.</t>
    </r>
    <r>
      <rPr>
        <sz val="7"/>
        <rFont val="Arial"/>
        <family val="2"/>
      </rPr>
      <t xml:space="preserve">     </t>
    </r>
    <r>
      <rPr>
        <sz val="12"/>
        <rFont val="Arial"/>
        <family val="2"/>
      </rPr>
      <t>Check that all operators (+, −, *, ÷) are used correctly.</t>
    </r>
  </si>
  <si>
    <r>
      <t>2.</t>
    </r>
    <r>
      <rPr>
        <sz val="7"/>
        <rFont val="Arial"/>
        <family val="2"/>
      </rPr>
      <t xml:space="preserve">     </t>
    </r>
    <r>
      <rPr>
        <sz val="12"/>
        <rFont val="Arial"/>
        <family val="2"/>
      </rPr>
      <t>Make sure numbers are not directly glued to variables (add *).</t>
    </r>
  </si>
  <si>
    <t>Last updated: 19 January 2026 (SW)</t>
  </si>
  <si>
    <t>There is a lack of consistency when collating and storing maintenance and components data, warranties, True Compliance data etc. for schemes in the team</t>
  </si>
  <si>
    <t>Last updated: 21 January 2026 (SW)</t>
  </si>
  <si>
    <t>KRI Status Selection</t>
  </si>
  <si>
    <t>(Budget Control*30% + Cost Management*30% + Funding Security*20% + Revenue Performance*15% + Market Risk*5%) ÷ 5</t>
  </si>
  <si>
    <t>(Staff Capacity*20% + Skills Availability*25% + Key Personnel*20% + Specialist Resources*15% + Recruitment*20%) ÷ 5</t>
  </si>
  <si>
    <t>(Building Control Performance*25% + Fire Safety*25% + BSA Gateways*20% + Safety Systems*20% + Regulatory Adherence*10%) ÷ 5</t>
  </si>
  <si>
    <t>(Schedule Performance*30% + Quality*25% + Contractor Management*20% + Pipeline Health*15% + Handover Success*10%) ÷ 5</t>
  </si>
  <si>
    <t>(Corporate Plan Alignment*30% + Housing Targets*25% + Policy Response*20% + Estate Renewal*15% + Political Support*10%) ÷ 5</t>
  </si>
  <si>
    <t>(Design Quality*35% + Infrastructure Coordination*30% + Data Management*15% + Utilities Integration*10% + Systems*10%) ÷ 5</t>
  </si>
  <si>
    <t>(Resident Satisfaction*30% + Community Relations*25% + Communication*20% + Political Confidence*15% + Trust*10%) ÷ 5</t>
  </si>
  <si>
    <t>(Net Zero Progress*30% + Carbon Management*25% + Energy Strategy*20% + Environmental Compliance*15% + Climate Resilience*10%) ÷ 5</t>
  </si>
  <si>
    <t>(Employment*35% + Apprenticeships*25% + Local Procurement*20% + Community Investment*10% + Skills Development*10%) ÷ 5</t>
  </si>
  <si>
    <t>KPI_100</t>
  </si>
  <si>
    <t>Programme Housing Delivery Delay Cost</t>
  </si>
  <si>
    <t>Budget variance due to delivery delays</t>
  </si>
  <si>
    <t>((Actual Cost - Planned Cost) ÷ Planned Cost)</t>
  </si>
  <si>
    <t>Measures the percentage increase in program costs specifically attributed to project delays and associated penalties.</t>
  </si>
  <si>
    <t>2-5%</t>
  </si>
  <si>
    <t>To monitor and minimize financial leakage caused by poor schedule management and contractor delays.</t>
  </si>
  <si>
    <t>Input A: 105000 (Actual),
 Input B: 100000 (Planned)</t>
  </si>
  <si>
    <t>9.75% Of delivery execution risk</t>
  </si>
  <si>
    <t>12.17% Of strategic misalignment risk</t>
  </si>
  <si>
    <t>15.16% Of financial risk exposure</t>
  </si>
  <si>
    <t>12.51% Of technical integration risk</t>
  </si>
  <si>
    <t>13.76% Of stakeholder confidence risk</t>
  </si>
  <si>
    <t>12.83% Of resource availability risk</t>
  </si>
  <si>
    <t>12.23% Of regulatory compliance risk</t>
  </si>
  <si>
    <t>16.75% Of community engagement risk</t>
  </si>
  <si>
    <t>RISK CAUSE &amp; EFFECT</t>
  </si>
  <si>
    <t>ESCALATED TO PROGRAMME RISK REGISTER</t>
  </si>
  <si>
    <t>FURTHER ACTION REQUIRED</t>
  </si>
  <si>
    <t>RISK OWNER</t>
  </si>
  <si>
    <t>Due Date</t>
  </si>
  <si>
    <t>PR_0005</t>
  </si>
  <si>
    <t xml:space="preserve">Failure to deliver a sustainable Financial Strategy which meets with Making Bromley Even Better priorities and failure of individual departments to meet budget 
</t>
  </si>
  <si>
    <t xml:space="preserve">Cause(s):
1. The Council Tax Report 2025/26 Budget (including future years financial forecast) reported to Executive on 12th February 2025 identified the need to reduce the Council's future years 'budget gap'.   
2. The Government has consulted on its review of the existing local government finance system (now known as Fair Funding 2.0) is expected to be implemented from  2026/27 and is expected to result in real terms reduction in future funding over the next three years. The significant levels of cost/growth pressures relating to SEN, social care and homelessness continue and there remains uncertainty relating to future cost increases arising from service inflation for some time. These factors can have a significant impact on the future years'  'budget gap'. An update on the latest financial forecast position is being reported to Executive in September. 
3. Failure to meet departmental budgets due to increased demand on key services resulting in overspends: housing (homelessness and cost of bed and breakfast); adult social care (demographic changes including ageing population); children's social care,  education (central costs, high needs transport and DSG deficit), waste (growing number of households), Dedicated Schools Grant deficit increases and limited delivery of planned mitigation savings.
4. New capital schemes may be required with the associated revenue impact (including financing) adding to the Council's 'budget gap' to meet.
5. Dependency on external grants to fund services (schools and housing benefits are ring-fenced) - effect if specific grants reduce or cease.
6. Increases in national living wage will have cost implications to the Council over the next few years (e.g. care providers and carers).  
7. Local government may be required to take on new funding responsibilities in the future without adequate funding.
8. Ongoing risk of inflation exceeding Bank of England inflation target levels.
9. Failure to identify and highlight frauds and weaknesses in the system of internal control (which invariably have a financial impact). Overall, identified fraud losses are mainly benefit related (Council Tax Support / Single Person Discount).
Effect(s):
1. Increased overspends in particular services
2. Council unable to carry out its statutory duties due to services cuts
3. Reputational damage
4. Risk of having to seek Exceptional Financial Support (EFS) or ultimately a Section 114 notice  
</t>
  </si>
  <si>
    <t>Finance
Financial</t>
  </si>
  <si>
    <t xml:space="preserve"> - Regular update to forward forecast
- Regular analysis of funding changes and new burdens including full year impact                                                                                                                
- Transformation options considered early in the four year forward planning period
- Budget monitoring to include action from relevant Director to address overspends including action to address any full year additional cost
- Mitigation of future cost pressures including demographic changes
 - Quarterly review of growth pressures and mitigation
- Growth Reduction Board chaired by Chief Executive  </t>
  </si>
  <si>
    <t xml:space="preserve">
'The Council continues to explore transformation opportunities to help meet the ongoing budget gap.
Chief Officers will explore further measures to help reduce the overspend in 2025/26 as reported to Executive in September.</t>
  </si>
  <si>
    <t>PR_0006</t>
  </si>
  <si>
    <t>Strategic Objectives &amp; Adaptability KRI</t>
  </si>
  <si>
    <t xml:space="preserve">Ineffective governance and management of contracts and procurement
</t>
  </si>
  <si>
    <t>Cause(s): 
1. Lack of awareness and/or non-compliance with Procurement Act 2023, Public Contracts Regulations 2015,  Provider Selection Regime and Councils Contract Procedure Rules.
2. Lack of awareness and/or non-compliance with decision making and scrutiny requirements.
3. Insufficient engagement with key support services such as Corporate Procurement, Finance and Legal.
4. Poor planning / lack of timely action for commissioning and procurement activities.
5. Poor record keeping of contracts and contract documentation.
6. Insufficient or unclear arrangements for client side contract management and monitoring resource.
7. Failure to undertake a suitable and proportionate contract management and monitoring plan.
8. Failure of a contractor / partner / provider to maintain agreed service levels resulting in an interruption to or deterioration of service delivery.
Effect(s):
- Failure to ensure Value for Money
- Procurement challenges / complaints leading to delays and potential additional costs
- Reputational risk
- Service disruptions
- Contracts do not deliver expected outcomes or deliver sufficient quality
- Increased cost and resource to manage contract issues
- Failure to achieve our Making Bromley Even Better priorities.</t>
  </si>
  <si>
    <t xml:space="preserve">Contract Management
Contractual and Partnership </t>
  </si>
  <si>
    <t>- Gateway process to support and record all relevant procurement decisions
- Contract Procedure Rules and regular Practice / Guidance notes to all Contract Owners
- Review of contract management and contract monitoring controls including any issues identified by internal audit
- Contracts Database and Quarterly Contracts Database Report to all relevant Committees
- Quarterly RAG rated contract reports to COE/CLT with individual reports to Contract Owners
- Procurement Board oversight
- Member scrutiny including regular Contract Monitoring Reports for £500k+ contracts
- Regular programme of training delivery to staff
- Quarterly Contract Owners meetings</t>
  </si>
  <si>
    <t xml:space="preserve">- Procurement Pipeline to support forward planning and to meet new statutory requirements.  Bi-annual.  First publication by Summer 2025 (COMPLETED).
- Completion of Procurement Act 2023 national L&amp;D programme by October 2024 for all Procurement and Legal Contracts officers (COMPLETED). Training offered to all Contract Owners (COMPLETED).
- Review of all documentation to ensure compliance with Procurement Act 2023.  New documentation in place and constant review based on lessons learned and further guidance received (COMPLETED).
- Update and adoption of revised Contract Procedure Rules.  In progress with finalisation expected in Summer 2025 (COMPLETED).
- Review and updating of Contract Management library, tools, resources and processes.  In progress with completion in 2025
- Regular review of Third Party Spend, identification of any strategic procurement and process issues and follow up for remedial action and key messaging
- ongoing and repeated high profile key messaging across the Council and monitoring of compliance
</t>
  </si>
  <si>
    <t>Strategic Lead B</t>
  </si>
  <si>
    <t>Corporate Risk</t>
  </si>
  <si>
    <t xml:space="preserve">Failure to maintain and develop ICT information systems to reliably support departmental service delivery
</t>
  </si>
  <si>
    <t>Cause(s): 
1. Some information systems not fully fit for future business purpose
2. Insufficient capacity and skill within Corporate IT and services to maintain and support systems during a period of significant change and in the future, including for individual systems 
3. Increasing reliance on stability of ICT infrastructure in all areas of the Council (Lync telephony service). 
4. Council website now a major channel for the delivery of services (Pay for it, Apply for it, Report it). - (Phase 2 upgrade of website planned) 
6. IT failure impacting on critical operational systems.
7. Over the next 3 years we will need to undertake gateway reviews / procurement plans for Council's business critical systems for example, Uniform, Housing info system and Education's Capita One system plus the main LBB website
8. Transfer of IT contract to a provider following procurement process
9. Potential risk in transferring from one site to another if there is lack of adequate support and sufficient timeframe
Effect(s):
1. Service disruptions
2. Inability to access key systems
3. Reputational damage
4. Inability to support organisation change and savings targets
5. Failure to achieve our MBEB priorities.</t>
  </si>
  <si>
    <t xml:space="preserve">ICT
Data and Information 
Technological </t>
  </si>
  <si>
    <t>Robust backup arrangements in the new accommodation 
Enhanced antivirus/cyber security.
tested system restoration arrangements. 
Cloud migration project
New contract
Accommodation better equipped to support resilience</t>
  </si>
  <si>
    <t xml:space="preserve">Review data storage /hosting arrangements.
Completion of cloud migration, office accommodation, contract procurement and award   
</t>
  </si>
  <si>
    <t>Strategic Lead A</t>
  </si>
  <si>
    <t>PR_0008</t>
  </si>
  <si>
    <t xml:space="preserve">IT Security Failure
</t>
  </si>
  <si>
    <t>Cause(s):
Failure of IT Security (responsibility across Bromley &amp; BT) to manage risk of attack or intrusion leading to potential corruption / loss of data / loss of systems
Failure of System manager  where Digital &amp; iT service (including BT) do not manage the system)
Failure to comply with relevant legislation (GDPR)
Failure to ensure the confidentiality, integrity, and availability of information assets.
Effect(s):
1. Distress and/or physical impact on wellbeing of customers
2. Impact on operational integrity
3. Reputational damage to services and the authority as a whole
4. Liability in law
5. Economic damage to authority and/or customers
6. Impact on service take up due to reduced confidence from the public</t>
  </si>
  <si>
    <t xml:space="preserve"> -Application of effective security management including effective application of anti- virus protection and security measures through the IT Contract with BT
- Regular Penetration Testing undertaken
- Information Security Team in place
- Patch updates undertaken regularly
- LBB is currently compliant with the Public Services Network Code of Connection (PSN CoCo), DSP Toolkit and PCI-DSS (Payment Card Industry standards)
The LBB Corporate Leadership Team formally accept the above certifications  as the basis of LBB's internal information governance and security program.  These standards are based on the ISO27001 international best practice and NCSC guidance for managing information security and are therefore fit for purpose for assessing and managing the Council's information risk
- GDPR Training programme in place
- Induction programme in place
- Additional resources to manage risks
- Security Operation Centre(SOC) has been implemented which proactively monitor of the LBB Data and Infrastructure.</t>
  </si>
  <si>
    <t xml:space="preserve"> - Review AI Policy
- Cyber Assessment Framework Stage 1 complete (action to remediate 2 findings by end of October 2025):
  &gt; Implement robust testing of disaster recovery and business continuity plans -  kick-off planning meeting scheduled for 6th August 2025
- Cyber Assessment Stage 2 
  &gt; Critical system assessment and incident response review is underway with a target cmpletion of 30th September 2025.
 - Two Audits undertaken by Mazars complete (action to remediate findings):
First Report - Governance and Risk
  &gt; Sign off of Cyber Secuirty Risk Appetite
  &gt; Implement robust adherance to mandatory security and governanance training - HR now offer security and data protection training on Evolve.  The Head of Security &amp; Information Management has reviewed and amended the packages (March 2025).  HR need to now ensure that they are robustly promoting the training and reporting on compliance.  
  &gt; The second report, Key IT and Security Controls, has been issued:
  &gt; Hiring Managers are not consistently notifying IT when an officer leaves the Council - Work is in progress to design a new Joiners. Movers, Leavers and Identity Management solution.
   2) Engagement with BT required to ensure that the leavers process is being carried out consistently with enhancements to the leavers Bring Your Own Device (BYOD) process.
- Upgrade out of support mobile phones and iPad models</t>
  </si>
  <si>
    <t>Strategic Lead C</t>
  </si>
  <si>
    <t xml:space="preserve">Failure to maintain robust Business Continuity and Emergency Planning arrangements
</t>
  </si>
  <si>
    <t xml:space="preserve">Cause(s): 
1. Insufficient Emergency Planning structure and processes
2. Insufficient Business Continuity arrangements and procedures, including those of key suppliers
3. Failure to fulfil obligations under the Civil Contingencies Act 2004 as a Category One Responder
4. Inadequate partnership working and collaboration
5. Lack of buy in from senior officers 
6. Lack of testing and exercising of plans and processes
Effect(s):
1. Ineffective response to an emergency / business disruption 
2.Significantly prolonged service disruptions 
3. Reputational damage / loss of credibility 
4. Increased costs to rectify disruptions
5. Injury / harm 
6. Failure to fulfil statutory duties in a timely manner
</t>
  </si>
  <si>
    <t xml:space="preserve">Business Continuity
Physical
Reputational </t>
  </si>
  <si>
    <t>- Corporate business continuity management programme established
- Full suite of Business Continuity plans in place at service level across all Directorates
- Overarching Corporate Business Continuity plan developed identifying prioritisation of all services
- Corporate Major Emergency Response plan in place
- On call rota for Emergency Response Manager and at Director level
- Ongoing training, testing and exercising programme
- Continued delivery of the Business Continuity Management Process by CLT</t>
  </si>
  <si>
    <t>1. Learning from corporate testing and exercising programme embedded into review of service BCP plans taking place between May and September 24
2. Development of this year’s corporate testing and exercising programme to further embed BC practices across the organisation will take place in December 24 to February 25.</t>
  </si>
  <si>
    <t>Director of Environment and Public Protection</t>
  </si>
  <si>
    <t>PR_0010</t>
  </si>
  <si>
    <t>Failure to deliver effective Children's services 
The Council is unable to deliver an effective children's service to fulfil its statutory obligations in safeguarding and protect those at risk of significant harm or death, sexual exploitation or missing from care</t>
  </si>
  <si>
    <t>Cause(s):
1. Inability to recruit and retain sufficient numbers of staff to carry out statutory duties across the division to manage current levels of demand.                                                                                                                                                                                                      2. Budget pressures result in challenges to fulilling statutory obligations.
Effect(s):
1. Impact on life chances and outcomes for children.
2. Adverse inspection leading to reputational damage and further operational difficulties (staff leave etc).</t>
  </si>
  <si>
    <t xml:space="preserve">Children's Social Care
Legal, Reputational </t>
  </si>
  <si>
    <t xml:space="preserve"> - Multi Agency Bromley Children's Safeguarding Partnership (BCSP) Training programme 2023/24 has been agreed.                                                                                                                                                                                                        - Regular Budget monitoring sessions including Director of Finance and Assistant Director of Finance to to monitor spend and projected costs. 
- Dedicated HR programme of support in place to recruit social workers to front line posts. We have recently reviewed social media publicity/"Refer a Friend" scheme to ensure we have a broad and comprehensive approach.  We are also currently actively recruiting from overseas. 
- Scrutiny of Performance Management Framework and Indicators. 
- Effective procurement framework and contract monitoring arrangements to ensure acceptable quality of service provision and value for money.
- Quality Assurance Audit Programme continues to be in place. We have also added "Dip Sampling" of cases to the ways in which we are auditing quality of practice.
- Children’s Service Practice Improvement Board; this meeting continues to be the key forum for discussing and evaluating the quality of practice.   
- Continued monitoring of caseloads to keep these in line with the Bromley Caseload Promise. 
- Identified training plan for qualified social workers and other professionals reviewed and updated quarterly.</t>
  </si>
  <si>
    <t xml:space="preserve">- Robust audit cycle in place. Demand Management forcasts informing MTFS   </t>
  </si>
  <si>
    <t>Director of Children's Services</t>
  </si>
  <si>
    <t>PR_0011</t>
  </si>
  <si>
    <t xml:space="preserve">Temporary Accommodation 
Inability to effectively manage the volume of people presenting themselves as homeless and the additional pressures placed on the homeless budgets. Rising cost of placements. </t>
  </si>
  <si>
    <t>Cause(s): 
1. Continued subsidy freeze on TA subsidy rates  
2. Rising numbers of placements (approx. 15 per month)  
3. Further reductions to local affordable sustainable options 
4. Rising energy and other costs mean households are facing increasing risk of homelessness
5. Uncertainty around the impact of move on requirements for schemes such as Homes for Ukraine, Afghanistan resettlement programme
6. Withdrawal of number of private landlords and housing providers from the TA market. 
7. Market reaction to interest rates, response to inflation rates, and proposed changes to legislation leading to reduction in supply.
8. Reaction to supply and demand leading to increased costs
9. Increased pressure securing accommodation as a result of competition from others   
Effect(s):
1. Failure to fulfil statutory obligations 
2. Impact on life chances and outcomes for individuals and families in temporary accommodation  
3. Increased risk of legal challenge due to accommodation and increased risk of Out of Borough Placements
4. Increased risk of legal challenge due to provision of accommodation (including shared accommodation and commercial hotels) 
5. Pressure on other services 
6. Increase in the number of out of borough placements
7. Increased length of stay in TA due to less move on opportunities
8. Costs cannot be contained within budget</t>
  </si>
  <si>
    <t>Housing 
Social</t>
  </si>
  <si>
    <t xml:space="preserve">- Focus on preventing homelessness and diversion to alternative housing options through:- 
- Landlord and Tenancy advice, support and sustainment
- Assistance, (including financial aid) to access the private rented sector 
- Access to employment and training 
- Debt, money, budgeting and welfare benefits advice, including assistance to resolve rent and mortgage arrears 
- Sanctuary scheme for the protection of victims of domestic violence 
- Effective contract monitoring arrangements to ensure acceptable quality of service provision and value for money  - 
 - Development of social housing on LBB sites and implementation of Meadowship Homes acquisition 
- Implementing the Homelessness Strategy - setting up the multi agency Homelessness forum and taking forward the priorities of the strategy
- New incentive campaign for private sector landlords embedded and benefits being realised 
</t>
  </si>
  <si>
    <t xml:space="preserve"> Phase 2 of meadowship homes property acqusition now live. Approval to progress with a further 3 housing sites under the LBB affordable housing delivery programme
- ongoing conversion of tenancies in the More Homes Bromley scheme from temporary to permanent
- Review requirement for block bookings to ensure sufficient TA supply  
- Progress counter fraud work on TA properties and explore joint fraud working with social landlords to ensure properties are occupied by intended clients.
- Pursue additional grant funding to increase affordable housing supply through development acquisition and empty homes
 - Explore whether, when accommodation is lost, the Council can take on these properties instead
 - Undertake a review of arrangements with Housing Association partners to look at potential to increase number of nominations and make best use of existing housing stock</t>
  </si>
  <si>
    <t>Director of Housing, Planning and Regeneration</t>
  </si>
  <si>
    <t xml:space="preserve">Failure to deliver the Transforming Bromley Programme </t>
  </si>
  <si>
    <t xml:space="preserve">Cause(s):
1. Failure to identify and put forward sufficient transformation proposals required to deliver a balanced budget in the Medium Term Financial Strategy
2. Failure to deliver appropriate mitigation of existing projected growth pressures within the financial forecast
3. Failure to appropriately resource each Transforming Bromley workstream with sufficient project support and subject matter expertise to enable the identification of proposals
4. Insufficient management oversight and governance arrangements to shape the delivery of proposals to enable Member decision making and inform budget setting for each financial year
5. Insufficient consultation and engagement with relevant stakeholders to ensure the successful delivery of proposals. 
6. Additional demand pressures on council services.
Effect(s)
- Inability to address the Council’s budget gap.
- Unable to meet key commitments of the Medium Term Financial Strategy
</t>
  </si>
  <si>
    <t xml:space="preserve">1. Robust governance process: fortnightly meetings of the Transformation Board, chaired by the Chief Executive and attended by Chief Officers
2. Each Transformation Board workstream attends the Transformation Board  before proposals are reviewed by Cabinet/Directors, PDS Committees and the Executive. 
3. Each Transformation workstream has appropriate resources to successfully deliver proposals
4. Monthly Transformation newsletter in place to appropriately engage with key stakeholders 
5. Where transformation proposals have public law implications, an appropriate assessment is carried out and stakeholders are engaged, including Procurement and Legal Services.
6. Each Chief Officer gives an update at their respective PDS Committee(s) on Transformation progress 
7. Transformation Fund supports the successful delivery of transformation proposals subject to a suitable business case being provided
8. A review of core statutory minimum service requirements took place to enable each service area to identify where potential savings could be and to evidence that where discretionary services are delivered. They are done so on a cost-recovery basis and/or they reduce long-term dependency on higher levels of statutory intervention which generate longer term growth pressures for the Council
9. All relevant proposals will be submitted to the Executive to inform budget setting for MTFS.
10. Finance provide assurances through budget monitoring to ensure that agreed mitigation and transformation programmes are on track to deliver the savings identified. Where Directors declare a deviation from the plan, alternative proposals are sought for approval. </t>
  </si>
  <si>
    <t xml:space="preserve">A new Transformation Plan for 2024-28 was launched in April 2024, with staff engagement.
Proposals being developed for key decisions and scrutiny as necessary between October – December 2024. Options under the wide umbrella of ‘Transforming Bromley’ include improving productivity, modernisation, reducing waste, taking a graduated approach to service thresholds leading to a reduction in statutory demand, using data to review and redesign in-house and commissioned services and service reductions. Staff continue to be briefed on the programme and engaged to ensure that they are able to influence the change programme with their experiences.
If growth/cost pressures continue, decisions associated to the Transformation Programme are likely to have an impact on the delivery of services to our residents and service users. </t>
  </si>
  <si>
    <t>Chief Executive</t>
  </si>
  <si>
    <t xml:space="preserve">Corporate Risk
</t>
  </si>
  <si>
    <t xml:space="preserve">Climate Change
Failure to adapt the borough and Council services to our changing climate </t>
  </si>
  <si>
    <t xml:space="preserve">Cause(s)
Severe weather events inclusing extreme heat, storms, floods etc
Effects
Resulting in threats to service service provision, environmental quality and residents' health in addition to reputational damage caused by perceived lack of action to tackle climate change
</t>
  </si>
  <si>
    <t xml:space="preserve">Service Delivery </t>
  </si>
  <si>
    <t xml:space="preserve">- 1. Adopt best adaptation practice as identified through the London Councils Climate Programme - Implementation Plan for 2023 to 2025, identifying, mitigating and managing climate risks creating a green and resilient borough.
2. Implementation of LBB's Carbon Management Programme 
3. LBB Surface Water Management Plan and Draft Local Flood Risk Strategy
4. Establish net zero (direct) carbon emissions target for 2027 as part of 10 year climate plan
5. Climate Change included within Corporate Risk Register and risks associated with climate change e.g. increased number of extreme weather events, included within Contract Risk Registers. Note the findings of the Independent Assessment of UK Climate Risk published on a 5 cycle. 
 </t>
  </si>
  <si>
    <t>1. Emergency Planning to liaise with Public Health on cross-cutting issues e.g. excess summer deaths and vector-borne disease etc.
2. Detailed climate action plan developed as part of ongoing Carbon Management Programme, in order to achieve net zero organisational carbon emissions by 2027.
3. Public signposting document to be developed early in 2023/24 to support homeowners and businesses to reduce their emissions.</t>
  </si>
  <si>
    <t>PR_0014</t>
  </si>
  <si>
    <t xml:space="preserve">Health &amp; Safety
(Fire and First Aid)
Non compliance with legislation
</t>
  </si>
  <si>
    <t xml:space="preserve">Cause(s)
1. No trained fire responsible person (legal) for some sites
2. Insufficient numbers of trained fire wardens working from the site to safely manage an evacuation (in accordance with the Fire Risk Assessments) 
3. Insufficient fire safety and fire fighting equipment and insufficient first aid supplies
4. Property related issues
5. Insufficient numbers of trained first aiders working from site to ensure sufficient first aid cover                                                                                                                                                                                                                                                                                           6. Insufficient arrangements for monitoring who is onsite at any given time
7. Fire risk assessments not undertaken 
8. Personal emergency evacuation plans not in place
Effect(s)
- Non compliance with legislation which could lead to legal and financial consequences
- Inadequate plans for fire safety and evacuation 
- Non compliance with Health and Safety (First Aid) Regulations 1981 in terms of adequate first aid provision in the form of trained first aiders and appropriate equipment if employees are injured or become ill at work
</t>
  </si>
  <si>
    <t xml:space="preserve">Legislative
Reputational 
Legal
Physical
Personnel
</t>
  </si>
  <si>
    <t>- Reduced number of staff on site                                                                                                                                                                                     - All staff required to complete fire prevention and evacuation e-learning course                                                                                                                                                                                 - COE has agreed that managers will be fire wardens. Training for managers undertaken in June and July 2025                                                                                                                                                                                
-  To encourage people to become first aiders, the monthly allowance that volunteers receive was increased                                                                                                                                                                            
- Fire Safety is a standing item at Corporate Health and Safety Committee, and is discussed quarterly at CLT
- Fire Safety policy published
 - Arrangements for new accomodation implemented and are under constant
review                                                                                                                                                                            
- New first aid policy published</t>
  </si>
  <si>
    <t xml:space="preserve"> 
 1. Learning and Development to arrange training on an ongoing basis. 
 2. Facilities Management to ensure Fire Risk Assessments are completed.
3. Facilities Management to engage fire safety supplier to produce Emergency Plans for LBB sites. 
4. Fire safety documents to be stored corporately to retain corporate knowledge.                                                       
5. Arranagments for roll calls to be considered.                                                                          
 </t>
  </si>
  <si>
    <t>Director of Housing, Planning and Regeneration
Director of  Human Resources, Customer Services and Public Affairs</t>
  </si>
  <si>
    <t>PR_0015</t>
  </si>
  <si>
    <t>Capital Financing Shortfall
Risk of significant costs increase in the Capital Programme and possible reductions in proceeds from disposals could impact on the Council's ability to fully fund the Capital programme</t>
  </si>
  <si>
    <t>Cause(s):
1. Property price reductions as a result of the economic environment could have a negative impact on sale proceeds.
2. Limited scope to identify further Council assets for disposal 
3. Significant increase in cost of capital schemes due to inflation and supply issues requiring an increase in funding
4. Significant additional costs and future liabilities across the Council's operational estate arising from any further condition survey liabilities not identified at this stage.
5. Requirement to obtain funding for significant new Housing Schemes and impact of higher borrowing costs
6. In February 2024, a report titled Capital Strategy 2024-25 to 2027-28 and Q3 Capital Programme Monitoring to Executive identified a significant increase in the Council's capital programme and resulting funding proposals given the factors identified above there is a risk that significant changes in cost and proceeds could create a new capital financing shortfall that needs to be addressed. The full funding identified excludes the potential works relating to potential works on the Churchill Theatre and library with proposals expected to be reported to Members later this year. 
7. Only limited earmarked reserves available to support the capital programme, once other pressures (inc revenue budget gap) are factored in.
Effect(s):
Without alternative funding, the Council would require drawdown from revenue resources. This would increase the Council's revenue budget gap and/or further deplete earmarked reserves. 
2. Increased use of external borrowing would add interest cost pressure to the Council's revenue budget along with Minimum Revenue Provision requirements for repayment of borrowing
3. Schemes would not be able to progress due to lack of funding available although the scope to do this may be limited given the critical nature of some of the works required
4. Potential requirement to sell operational or income generating investment properties to fund capital costs</t>
  </si>
  <si>
    <t>Economic - Strategy</t>
  </si>
  <si>
    <t>1. Fundamental review of capital programme undertaken to inform updated Capital Strategy 2023/24 to 2026/27 as reported to Executive in January 2023 - this includes full capital programme, approved asset disposals, mitigations and agreed financing options.
2. Regular reporting to Members via SAG, FSG and Executive
3. Tight control and scrutiny (by finance) of capital spending commitments as they reach the level of business case.
4. Quarterly reports on capital receipts (actual and forecast) to Executive.
5. Members have approved PWLB borrowing to refinance existing housing schemes (£50m via PWLB) and the additional option of up to £10m support from the Council's revenue earmarked reserves.</t>
  </si>
  <si>
    <t>Director of Finance</t>
  </si>
  <si>
    <t xml:space="preserve">Corporate Risk </t>
  </si>
  <si>
    <t xml:space="preserve">Operational Property Repair  
The OPR Programme cannot be delivered to budget and within programme </t>
  </si>
  <si>
    <t xml:space="preserve">Cause(s):
1. That building cost inflation and other economic uncertainties continue
2. The scope of works required exceeds the budget
3. The programme continues beyond the time anticipated
4. Resource to deliver the programme not available as anticipated 
Effect(s):
1. Not all works required can be implemented
2. Impacted properties may continue to have repair liabilities beyond those anticipated
3. Impacted properties may not be compliant for building regulations and health &amp; safety
4. Works continue beyond the end of the anticipated programme
 </t>
  </si>
  <si>
    <t>- Surveys undertaken  across the portfolio, 
- Cost estimates undertaken utilising average cost per m2,
-  Executive Report on findings of the review and proposed capital works to refurbish the properties agreed at Full Council in Dec '22   
 - Ensure alternative and adequate resources are available</t>
  </si>
  <si>
    <t>Monitor costs at Programme Board</t>
  </si>
  <si>
    <t>Operational Property Repair 
Buildings within the OPR Programme fail prior to commencement of works</t>
  </si>
  <si>
    <t xml:space="preserve">Cause(s): 
1. Infrastructure that is beyond economic repair fails   
Effect: 
1. The property cannot be occupied  
2. A Council service or stakeholder is unable to continue to offer a service from the property 
3. There is a health &amp; safety incident 5. The Council suffers financial and/or reputational loss </t>
  </si>
  <si>
    <t xml:space="preserve">Works on  properties known to be at risk are being accelerated </t>
  </si>
  <si>
    <t xml:space="preserve">Monitor Facilities Management reports of infrastructure failure </t>
  </si>
  <si>
    <t xml:space="preserve">Recruitment and Retention
Ineffective recruitment and retention strategies for hard to fill posts </t>
  </si>
  <si>
    <t>Cause(s):
1. Physical environment/hygiene facilities
2. Culture 
3. Increasingly fluid market
4. Increases in demand and/or reductions in supply
5. Lack of experienced staff in the labour pool
6. Budget constraints
7. Lack of leadership
8. Failure to compete with other organisations to recruit the highest quality candidates to build an agile work force
9. Cost of living rises deter potential candidates from working in London
10. Recruitment can fluctuate due to external pressures
Effect(s):
1. Potential service delivery impacts
2. Increased costs due to use of agency workers
3. Reduction in quality of service</t>
  </si>
  <si>
    <t>Personnel / Operational</t>
  </si>
  <si>
    <t>1. Horizon scanning to anticipate changes and trends to staff complement
2. Keeping up to date on national trends for hard to recruit professions
3. Case load review
4. Review of pay and comparison with neighbouring LAs
5. R&amp;R Board to regularly review
6. No Quit Policy in place
7. Implement grow your own initiatives e.g. senior practitioners progression pathway, training pathways for social workers, graduate trainees, apprentices                   
8. Overseas recruitment                                                                                                               
9. Signed up to the London Pledge - all Councils have a memorandum or understanding to pay social workers same rate                                                                 
10. LBB staff present at recruitment fairs/events  
11. Dedicated HR team to support managers in recruiting hard to fill positions in CSC and Education
12. Recruitment drive to convert locums to permanent staff
13. Exit interviews to understand why staff leave 
14. Recruitment event took place in January 2023</t>
  </si>
  <si>
    <t xml:space="preserve">1. Review of retention strategies
2. Development of a Talent Management Strategy.
3. Consideration to resurrect 'Future Leaders Programme'   
</t>
  </si>
  <si>
    <t>Director of HR, Customer Services and Public Affairs</t>
  </si>
  <si>
    <t>Deleterious Materials -
Discovery of Deleterious Materials in the construction and fit out of properties owned or occupied by the Council.</t>
  </si>
  <si>
    <t>Causes:
Use of deleterious material in building construction and fit out that are harmful to human health.
Use of deleterious material in building construction and fit out which cause of long-term failure in building fabric and/or structure.
Effects:
Release of substances harmful to human health resulting in…. short- and long-term harm to employees, members, visitors and general public
Failure of building structure resulting in…acute harm to employees, members, visitors and general public
Closure or partial closure of buildings leading to temporary relocation and impact on Service delivery.
Non-co-operation of tenants leading to Council having to result to dispute resolution to access building. Possibility of compensation if lease has such a clause.
Investigation by the HSE leading to possible prosecution.</t>
  </si>
  <si>
    <t>Health &amp; safety</t>
  </si>
  <si>
    <t xml:space="preserve">
Council is complying with existing HSE and industry guidance including Health and Safety at Work regulations.
Specification of all works to properties commissioned by the Property and Regen Teams ban the use of deleterious materials.
Property and Regen to ensure Asbestos Management Surveys in place across the Councils’ property portfolio.
RAAC surveys commissioned by Property and Regen to cover the Councils’ property portfolio.                                                   </t>
  </si>
  <si>
    <t>Continued training on deleterious materials for property and regen staff (asbestos awareness etc). Council to hold a register of all identified deleterious material across the estate with mitigation plans were identified.                                                                                            Following the announcement of HSE asbestos management inspections of Councils, an external retained health and safety consultant will be reviewing the asbestos management arrangements in LBB.</t>
  </si>
  <si>
    <t>Source_File</t>
  </si>
  <si>
    <t>Issue Response</t>
  </si>
  <si>
    <t>PI_-0001</t>
  </si>
  <si>
    <t>Resolve</t>
  </si>
  <si>
    <t>Mar25: True Compliance implementation ongoing.
Jan25: Fire safety case folder created as standard in project folder structures. Apex discontinued, now moving to True Compliance - due by end of Jan.
Jul24: Work is underway to rectify this for a number of schemes as part of the work to prepare for the RSH inspection.
20/03/24 defects management training concluded in Feb
Tasks in Handover process laucning in April 24. This should improve the consistency and efficiency
18Oct23: Defects process rolled out, handover process review almost complete and ready to roll out.
Original: Reviewing the handover and defects process will identify the process in detail and identify roles that are responsible for storing and handling the data</t>
  </si>
  <si>
    <t>20/03/24 defects management training concluded in Feb</t>
  </si>
  <si>
    <t xml:space="preserve">Ongoing </t>
  </si>
  <si>
    <t>Y</t>
  </si>
  <si>
    <t>Key Components</t>
  </si>
  <si>
    <t>Building Control Safety Compliance KRI</t>
  </si>
  <si>
    <t xml:space="preserve"> - Building Control delays
 - Fire safety (LFB)
 - Safety compliance
 - Building Safety Act
 - Regulatory relations (PCR Compliance)</t>
  </si>
  <si>
    <t>Osama</t>
  </si>
  <si>
    <t>Programme Delivery Excellence KRI</t>
  </si>
  <si>
    <t xml:space="preserve"> - Schedule performance
 - Quality delivery (defects)
 - Contractor performance
 - Building Control
 - Handover Excellence</t>
  </si>
  <si>
    <t>Margaret</t>
  </si>
  <si>
    <t>Programme Financial Sustainability KRI</t>
  </si>
  <si>
    <t xml:space="preserve"> - Budget performance
 - Cost control
 - Funding security
 - Revenue generation
 - Loss &amp; expense vs contingency</t>
  </si>
  <si>
    <t>Hemali</t>
  </si>
  <si>
    <t>Resource &amp; Capability Adequacy KRI</t>
  </si>
  <si>
    <t xml:space="preserve"> - Resource capacity
 - Skills adequacy
 - Personnel availability
 - Specialist resources
 - Resource availability</t>
  </si>
  <si>
    <t>Zoe</t>
  </si>
  <si>
    <t xml:space="preserve"> - Corporate Plan delivery
 - Target achievement
 - Policy compliance
 - Estate optimisation
 - Political alignment</t>
  </si>
  <si>
    <t>Supply Chain &amp; Safety Performance KRI</t>
  </si>
  <si>
    <t xml:space="preserve"> - Contractor performance
 - Materials availability
 - Safety performance
 - Quality standards
 - Risk management</t>
  </si>
  <si>
    <t>Technical Delivery &amp; Infrastructure KRI</t>
  </si>
  <si>
    <t xml:space="preserve"> - Design quality
 - Infrastructure coordination
 - Utilities integration
 - Systems integration
 - Data management (key document approval)</t>
  </si>
  <si>
    <t>Richard</t>
  </si>
  <si>
    <t>Total Risks</t>
  </si>
  <si>
    <t>High Risks</t>
  </si>
  <si>
    <t>Overdue</t>
  </si>
  <si>
    <t>% Overdue</t>
  </si>
  <si>
    <t>Average Risk Age (Days)</t>
  </si>
  <si>
    <t>% Projects</t>
  </si>
  <si>
    <t>Residual Exposure (£)</t>
  </si>
  <si>
    <t>&lt;=3</t>
  </si>
  <si>
    <t>4-6</t>
  </si>
  <si>
    <t>2-3</t>
  </si>
  <si>
    <t>11-25</t>
  </si>
  <si>
    <t>31-60</t>
  </si>
  <si>
    <t>26-50</t>
  </si>
  <si>
    <t>2M-4M</t>
  </si>
  <si>
    <t>30-49</t>
  </si>
  <si>
    <t>0-1</t>
  </si>
  <si>
    <t>&lt;=10</t>
  </si>
  <si>
    <t>&lt;=30</t>
  </si>
  <si>
    <t>&lt;=25</t>
  </si>
  <si>
    <t>&lt;=2M</t>
  </si>
  <si>
    <t>&gt;=50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</si>
</sst>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64" formatCode="#"/>
    <numFmt numFmtId="165" formatCode="dd/mm/yyyy;@"/>
    <numFmt numFmtId="166" formatCode="[$£-809]#,##0.00"/>
    <numFmt numFmtId="167" formatCode="_-[$£-809]* #,##0.00_-;\-[$£-809]* #,##0.00_-;_-[$£-809]* &quot;-&quot;??_-;_-@_-"/>
  </numFmts>
  <fonts count="131">
    <font>
      <sz val="10"/>
      <name val="Arial"/>
    </font>
    <font>
      <sz val="12"/>
      <color theme="1"/>
      <name val="Arial"/>
      <family val="2"/>
    </font>
    <font>
      <sz val="10"/>
      <name val="Arial"/>
      <family val="2"/>
    </font>
    <font>
      <sz val="8"/>
      <name val="Arial"/>
      <family val="2"/>
    </font>
    <font>
      <sz val="9"/>
      <color indexed="81"/>
      <name val="Tahoma"/>
      <family val="2"/>
    </font>
    <font>
      <b/>
      <sz val="9"/>
      <color indexed="81"/>
      <name val="Tahoma"/>
      <family val="2"/>
    </font>
    <font>
      <i/>
      <sz val="8"/>
      <color theme="0"/>
      <name val="Arial Narrow"/>
      <family val="2"/>
    </font>
    <font>
      <sz val="11"/>
      <color theme="1"/>
      <name val="Arial Narrow"/>
      <family val="2"/>
    </font>
    <font>
      <b/>
      <sz val="8"/>
      <name val="Arial"/>
      <family val="2"/>
    </font>
    <font>
      <b/>
      <sz val="8"/>
      <color indexed="9"/>
      <name val="Arial"/>
      <family val="2"/>
    </font>
    <font>
      <sz val="16"/>
      <name val="Arial"/>
      <family val="2"/>
    </font>
    <font>
      <b/>
      <sz val="10"/>
      <name val="Arial"/>
      <family val="2"/>
    </font>
    <font>
      <b/>
      <sz val="11"/>
      <color theme="0"/>
      <name val="Arial"/>
      <family val="2"/>
    </font>
    <font>
      <sz val="11"/>
      <name val="Arial"/>
      <family val="2"/>
    </font>
    <font>
      <i/>
      <sz val="8"/>
      <color theme="0"/>
      <name val="Arial"/>
      <family val="2"/>
    </font>
    <font>
      <sz val="8"/>
      <color theme="0"/>
      <name val="Arial"/>
      <family val="2"/>
    </font>
    <font>
      <sz val="11"/>
      <color theme="1"/>
      <name val="Arial"/>
      <family val="2"/>
    </font>
    <font>
      <i/>
      <sz val="8"/>
      <color theme="1"/>
      <name val="Arial"/>
      <family val="2"/>
    </font>
    <font>
      <b/>
      <sz val="16"/>
      <name val="Arial"/>
      <family val="2"/>
    </font>
    <font>
      <sz val="12"/>
      <name val="Arial"/>
      <family val="2"/>
    </font>
    <font>
      <sz val="11"/>
      <color rgb="FF242424"/>
      <name val="Arial"/>
      <family val="2"/>
    </font>
    <font>
      <sz val="12"/>
      <color rgb="FFFF0000"/>
      <name val="Arial"/>
      <family val="2"/>
    </font>
    <font>
      <b/>
      <u/>
      <sz val="10"/>
      <color theme="0"/>
      <name val="Arial"/>
      <family val="2"/>
    </font>
    <font>
      <u/>
      <sz val="8"/>
      <name val="Arial"/>
      <family val="2"/>
    </font>
    <font>
      <b/>
      <sz val="10"/>
      <color theme="0"/>
      <name val="Arial"/>
      <family val="2"/>
    </font>
    <font>
      <b/>
      <sz val="12"/>
      <color theme="0"/>
      <name val="Arial"/>
      <family val="2"/>
    </font>
    <font>
      <b/>
      <u/>
      <sz val="10"/>
      <name val="Arial"/>
      <family val="2"/>
    </font>
    <font>
      <b/>
      <sz val="11"/>
      <name val="Arial"/>
      <family val="2"/>
    </font>
    <font>
      <b/>
      <sz val="14"/>
      <name val="Arial"/>
      <family val="2"/>
    </font>
    <font>
      <sz val="14"/>
      <name val="Arial"/>
      <family val="2"/>
    </font>
    <font>
      <b/>
      <sz val="18"/>
      <name val="Arial"/>
      <family val="2"/>
    </font>
    <font>
      <b/>
      <sz val="13.5"/>
      <name val="Arial"/>
      <family val="2"/>
    </font>
    <font>
      <b/>
      <sz val="10"/>
      <name val="Arial"/>
      <family val="2"/>
    </font>
    <font>
      <sz val="10"/>
      <name val="Arial Unicode MS"/>
    </font>
    <font>
      <b/>
      <sz val="18"/>
      <name val="Arial"/>
      <family val="2"/>
    </font>
    <font>
      <b/>
      <sz val="18"/>
      <color rgb="FF667EEA"/>
      <name val="Segoe UI"/>
      <family val="2"/>
    </font>
    <font>
      <sz val="10"/>
      <name val="Segoe UI"/>
      <family val="2"/>
    </font>
    <font>
      <b/>
      <sz val="8"/>
      <color rgb="FFFFFFFF"/>
      <name val="Segoe UI"/>
      <family val="2"/>
    </font>
    <font>
      <sz val="9"/>
      <name val="Courier New"/>
      <family val="3"/>
    </font>
    <font>
      <b/>
      <sz val="10"/>
      <color rgb="FF667EEA"/>
      <name val="Segoe UI"/>
      <family val="2"/>
    </font>
    <font>
      <sz val="8.5"/>
      <color rgb="FF666666"/>
      <name val="Segoe UI"/>
      <family val="2"/>
    </font>
    <font>
      <b/>
      <sz val="10"/>
      <color rgb="FF856404"/>
      <name val="Segoe UI"/>
      <family val="2"/>
    </font>
    <font>
      <b/>
      <sz val="10"/>
      <color rgb="FF721C24"/>
      <name val="Segoe UI"/>
      <family val="2"/>
    </font>
    <font>
      <b/>
      <sz val="10"/>
      <color rgb="FF155724"/>
      <name val="Segoe UI"/>
      <family val="2"/>
    </font>
    <font>
      <b/>
      <sz val="10"/>
      <name val="Segoe UI"/>
      <family val="2"/>
    </font>
    <font>
      <sz val="25"/>
      <name val="Segoe UI"/>
      <family val="2"/>
    </font>
    <font>
      <sz val="9.5"/>
      <name val="Segoe UI"/>
      <family val="2"/>
    </font>
    <font>
      <sz val="12"/>
      <name val="Aptos Narrow"/>
      <family val="2"/>
    </font>
    <font>
      <b/>
      <sz val="20"/>
      <name val="Arial"/>
      <family val="2"/>
    </font>
    <font>
      <b/>
      <sz val="11"/>
      <color rgb="FFFFFFFF"/>
      <name val="Segoe UI"/>
      <family val="2"/>
    </font>
    <font>
      <sz val="11"/>
      <name val="Segoe UI"/>
      <family val="2"/>
    </font>
    <font>
      <b/>
      <sz val="11"/>
      <color rgb="FF667EEA"/>
      <name val="Segoe UI"/>
      <family val="2"/>
    </font>
    <font>
      <sz val="11"/>
      <color rgb="FF666666"/>
      <name val="Segoe UI"/>
      <family val="2"/>
    </font>
    <font>
      <b/>
      <sz val="11"/>
      <color rgb="FF856404"/>
      <name val="Segoe UI"/>
      <family val="2"/>
    </font>
    <font>
      <sz val="11"/>
      <color rgb="FF333333"/>
      <name val="Segoe UI"/>
      <family val="2"/>
    </font>
    <font>
      <sz val="11"/>
      <color rgb="FF333333"/>
      <name val="Courier New"/>
      <family val="3"/>
    </font>
    <font>
      <b/>
      <sz val="11"/>
      <color rgb="FFFFFFFF"/>
      <name val="Arial"/>
      <family val="2"/>
    </font>
    <font>
      <sz val="11"/>
      <color rgb="FF333333"/>
      <name val="Arial"/>
      <family val="2"/>
    </font>
    <font>
      <b/>
      <sz val="11"/>
      <color rgb="FF667EEA"/>
      <name val="Arial"/>
      <family val="2"/>
    </font>
    <font>
      <sz val="11"/>
      <color rgb="FF666666"/>
      <name val="Arial"/>
      <family val="2"/>
    </font>
    <font>
      <b/>
      <sz val="11"/>
      <color rgb="FF856404"/>
      <name val="Arial"/>
      <family val="2"/>
    </font>
    <font>
      <sz val="11"/>
      <name val="Arial"/>
      <family val="2"/>
    </font>
    <font>
      <b/>
      <sz val="11"/>
      <color rgb="FF721C24"/>
      <name val="Arial"/>
      <family val="2"/>
    </font>
    <font>
      <b/>
      <sz val="11"/>
      <color rgb="FF155724"/>
      <name val="Arial"/>
      <family val="2"/>
    </font>
    <font>
      <sz val="11"/>
      <color rgb="FFFFFFFF"/>
      <name val="Arial"/>
      <family val="2"/>
    </font>
    <font>
      <b/>
      <sz val="14"/>
      <color rgb="FF667EEA"/>
      <name val="Arial"/>
      <family val="2"/>
    </font>
    <font>
      <b/>
      <sz val="16"/>
      <color rgb="FF667EEA"/>
      <name val="Arial"/>
      <family val="2"/>
    </font>
    <font>
      <b/>
      <sz val="11"/>
      <color rgb="FF00B050"/>
      <name val="Arial"/>
      <family val="2"/>
    </font>
    <font>
      <b/>
      <sz val="11"/>
      <color rgb="FF92D050"/>
      <name val="Arial"/>
      <family val="2"/>
    </font>
    <font>
      <b/>
      <sz val="22"/>
      <color rgb="FF667EEA"/>
      <name val="Arial"/>
      <family val="2"/>
    </font>
    <font>
      <b/>
      <sz val="12"/>
      <name val="Arial"/>
      <family val="2"/>
    </font>
    <font>
      <b/>
      <sz val="13.5"/>
      <name val="Arial"/>
      <family val="2"/>
    </font>
    <font>
      <b/>
      <sz val="16"/>
      <color rgb="FFFFD700"/>
      <name val="Arial"/>
      <family val="2"/>
    </font>
    <font>
      <b/>
      <sz val="16"/>
      <color theme="0"/>
      <name val="Arial"/>
      <family val="2"/>
    </font>
    <font>
      <i/>
      <sz val="10"/>
      <name val="Arial"/>
      <family val="2"/>
    </font>
    <font>
      <b/>
      <sz val="20"/>
      <color rgb="FF667EEA"/>
      <name val="Arial"/>
      <family val="2"/>
    </font>
    <font>
      <sz val="11"/>
      <color theme="0"/>
      <name val="Arial"/>
      <family val="2"/>
    </font>
    <font>
      <sz val="10"/>
      <color theme="0"/>
      <name val="Arial"/>
      <family val="2"/>
    </font>
    <font>
      <b/>
      <sz val="13.5"/>
      <color theme="0"/>
      <name val="Arial"/>
      <family val="2"/>
    </font>
    <font>
      <b/>
      <sz val="24"/>
      <name val="Arial"/>
      <family val="2"/>
    </font>
    <font>
      <b/>
      <sz val="24"/>
      <color theme="0"/>
      <name val="Arial"/>
      <family val="2"/>
    </font>
    <font>
      <b/>
      <sz val="14"/>
      <color theme="0"/>
      <name val="Arial"/>
      <family val="2"/>
    </font>
    <font>
      <sz val="8"/>
      <color rgb="FF424242"/>
      <name val="Segoe UI"/>
      <family val="2"/>
    </font>
    <font>
      <sz val="8"/>
      <color rgb="FF424242"/>
      <name val="Segoe UI"/>
      <family val="2"/>
    </font>
    <font>
      <b/>
      <sz val="18"/>
      <color theme="0"/>
      <name val="Arial"/>
      <family val="2"/>
    </font>
    <font>
      <b/>
      <sz val="12"/>
      <color rgb="FFFFFFFF"/>
      <name val="Calibri"/>
      <family val="2"/>
    </font>
    <font>
      <b/>
      <sz val="12"/>
      <color rgb="FF375623"/>
      <name val="Calibri"/>
      <family val="2"/>
    </font>
    <font>
      <b/>
      <sz val="12"/>
      <color rgb="FF1F4E79"/>
      <name val="Calibri"/>
      <family val="2"/>
    </font>
    <font>
      <b/>
      <sz val="12"/>
      <color rgb="FF0066CC"/>
      <name val="Calibri"/>
      <family val="2"/>
    </font>
    <font>
      <b/>
      <sz val="12"/>
      <color rgb="FF000000"/>
      <name val="Calibri"/>
      <family val="2"/>
    </font>
    <font>
      <sz val="8"/>
      <name val="Arial"/>
      <family val="2"/>
    </font>
    <font>
      <b/>
      <sz val="10"/>
      <color theme="1"/>
      <name val="Arial"/>
      <family val="2"/>
    </font>
    <font>
      <sz val="10"/>
      <color theme="1"/>
      <name val="Arial"/>
      <family val="2"/>
    </font>
    <font>
      <b/>
      <sz val="12"/>
      <color theme="1"/>
      <name val="Arial"/>
      <family val="2"/>
    </font>
    <font>
      <b/>
      <sz val="14"/>
      <color rgb="FF856404"/>
      <name val="Arial"/>
      <family val="2"/>
    </font>
    <font>
      <sz val="12"/>
      <color rgb="FF000000"/>
      <name val="Calibri"/>
      <family val="2"/>
    </font>
    <font>
      <b/>
      <sz val="14"/>
      <color rgb="FF000000"/>
      <name val="Arial"/>
      <family val="2"/>
    </font>
    <font>
      <sz val="10"/>
      <color rgb="FF00873B"/>
      <name val="Arial"/>
      <family val="2"/>
    </font>
    <font>
      <sz val="18"/>
      <color theme="0"/>
      <name val="Arial"/>
      <family val="2"/>
    </font>
    <font>
      <b/>
      <sz val="26"/>
      <color rgb="FFFF0000"/>
      <name val="Arial"/>
      <family val="2"/>
    </font>
    <font>
      <b/>
      <sz val="18"/>
      <color theme="1"/>
      <name val="Arial"/>
      <family val="2"/>
    </font>
    <font>
      <b/>
      <sz val="48"/>
      <name val="Arial"/>
      <family val="2"/>
    </font>
    <font>
      <b/>
      <sz val="36"/>
      <name val="Arial"/>
      <family val="2"/>
    </font>
    <font>
      <b/>
      <sz val="72"/>
      <color theme="0"/>
      <name val="Arial"/>
      <family val="2"/>
    </font>
    <font>
      <b/>
      <sz val="72"/>
      <name val="Arial"/>
      <family val="2"/>
    </font>
    <font>
      <b/>
      <sz val="36"/>
      <color theme="0"/>
      <name val="Arial"/>
      <family val="2"/>
    </font>
    <font>
      <b/>
      <sz val="48"/>
      <color theme="0"/>
      <name val="Arial"/>
      <family val="2"/>
    </font>
    <font>
      <b/>
      <sz val="12"/>
      <color theme="0"/>
      <name val="Segoe UI Emoji"/>
      <family val="2"/>
    </font>
    <font>
      <sz val="14"/>
      <color rgb="FF000000"/>
      <name val="Arial"/>
      <family val="2"/>
    </font>
    <font>
      <b/>
      <sz val="12"/>
      <color rgb="FF000000"/>
      <name val="Arial"/>
      <family val="2"/>
    </font>
    <font>
      <b/>
      <sz val="12"/>
      <color rgb="FFFFFFFF"/>
      <name val="Arial"/>
      <family val="2"/>
    </font>
    <font>
      <b/>
      <i/>
      <sz val="8"/>
      <color theme="0"/>
      <name val="Arial Narrow"/>
      <family val="2"/>
    </font>
    <font>
      <sz val="36"/>
      <name val="Arial"/>
      <family val="2"/>
    </font>
    <font>
      <sz val="48"/>
      <name val="Arial"/>
      <family val="2"/>
    </font>
    <font>
      <sz val="36"/>
      <color theme="0"/>
      <name val="Arial"/>
      <family val="2"/>
    </font>
    <font>
      <sz val="11"/>
      <name val="Consolas"/>
      <family val="3"/>
    </font>
    <font>
      <b/>
      <sz val="36"/>
      <color theme="1"/>
      <name val="Arial"/>
      <family val="2"/>
    </font>
    <font>
      <b/>
      <sz val="60"/>
      <color theme="0"/>
      <name val="Arial"/>
      <family val="2"/>
    </font>
    <font>
      <b/>
      <sz val="72"/>
      <color rgb="FFFF0000"/>
      <name val="Arial"/>
      <family val="2"/>
    </font>
    <font>
      <sz val="16"/>
      <color theme="0"/>
      <name val="Arial"/>
      <family val="2"/>
    </font>
    <font>
      <b/>
      <sz val="24"/>
      <color theme="1"/>
      <name val="Arial"/>
      <family val="2"/>
    </font>
    <font>
      <sz val="10"/>
      <color theme="1"/>
      <name val="Arial Unicode MS"/>
    </font>
    <font>
      <b/>
      <sz val="11"/>
      <color theme="1"/>
      <name val="Calibri"/>
      <family val="2"/>
      <scheme val="minor"/>
    </font>
    <font>
      <b/>
      <sz val="22"/>
      <color theme="0"/>
      <name val="Arial"/>
      <family val="2"/>
    </font>
    <font>
      <b/>
      <sz val="7"/>
      <name val="Arial"/>
      <family val="2"/>
    </font>
    <font>
      <sz val="7"/>
      <name val="Arial"/>
      <family val="2"/>
    </font>
    <font>
      <u/>
      <sz val="12"/>
      <color rgb="FFEE0000"/>
      <name val="Arial"/>
      <family val="2"/>
    </font>
    <font>
      <sz val="12"/>
      <color rgb="FFEE0000"/>
      <name val="Arial"/>
      <family val="2"/>
    </font>
    <font>
      <u/>
      <sz val="12"/>
      <color rgb="FF4EA72E"/>
      <name val="Arial"/>
      <family val="2"/>
    </font>
    <font>
      <b/>
      <sz val="14"/>
      <color theme="1"/>
      <name val="Arial"/>
      <family val="2"/>
    </font>
    <font>
      <b/>
      <sz val="28"/>
      <color rgb="FFC00000"/>
      <name val="Arial"/>
      <family val="2"/>
    </font>
  </fonts>
  <fills count="4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F0"/>
        <bgColor indexed="64"/>
      </patternFill>
    </fill>
    <fill>
      <patternFill patternType="solid">
        <fgColor rgb="FF7030A0"/>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FFFFFF"/>
        <bgColor indexed="64"/>
      </patternFill>
    </fill>
    <fill>
      <patternFill patternType="solid">
        <fgColor rgb="FFFFC000"/>
        <bgColor rgb="FF000000"/>
      </patternFill>
    </fill>
    <fill>
      <patternFill patternType="solid">
        <fgColor rgb="FFFF0000"/>
        <bgColor rgb="FF000000"/>
      </patternFill>
    </fill>
    <fill>
      <patternFill patternType="solid">
        <fgColor rgb="FFFFFF00"/>
        <bgColor rgb="FF000000"/>
      </patternFill>
    </fill>
    <fill>
      <patternFill patternType="solid">
        <fgColor rgb="FF92D050"/>
        <bgColor rgb="FF000000"/>
      </patternFill>
    </fill>
    <fill>
      <patternFill patternType="solid">
        <fgColor rgb="FF00B050"/>
        <bgColor rgb="FF000000"/>
      </patternFill>
    </fill>
    <fill>
      <patternFill patternType="solid">
        <fgColor rgb="FF00873B"/>
        <bgColor indexed="64"/>
      </patternFill>
    </fill>
    <fill>
      <patternFill patternType="solid">
        <fgColor rgb="FFC9D963"/>
        <bgColor indexed="64"/>
      </patternFill>
    </fill>
    <fill>
      <patternFill patternType="solid">
        <fgColor rgb="FFC00000"/>
        <bgColor indexed="64"/>
      </patternFill>
    </fill>
    <fill>
      <patternFill patternType="solid">
        <fgColor rgb="FFF8F9FF"/>
        <bgColor indexed="64"/>
      </patternFill>
    </fill>
    <fill>
      <patternFill patternType="solid">
        <fgColor rgb="FFE8EAFF"/>
        <bgColor indexed="64"/>
      </patternFill>
    </fill>
    <fill>
      <patternFill patternType="solid">
        <fgColor theme="5"/>
        <bgColor indexed="64"/>
      </patternFill>
    </fill>
    <fill>
      <patternFill patternType="solid">
        <fgColor rgb="FFE2EFDA"/>
        <bgColor indexed="64"/>
      </patternFill>
    </fill>
    <fill>
      <patternFill patternType="solid">
        <fgColor rgb="FFDEEAF6"/>
        <bgColor indexed="64"/>
      </patternFill>
    </fill>
    <fill>
      <patternFill patternType="solid">
        <fgColor theme="4" tint="0.79998168889431442"/>
        <bgColor theme="4" tint="0.79998168889431442"/>
      </patternFill>
    </fill>
    <fill>
      <patternFill patternType="solid">
        <fgColor rgb="FFFFFF99"/>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6"/>
        <bgColor indexed="64"/>
      </patternFill>
    </fill>
    <fill>
      <patternFill patternType="solid">
        <fgColor rgb="FF00000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FFCCFF"/>
        <bgColor indexed="64"/>
      </patternFill>
    </fill>
    <fill>
      <patternFill patternType="solid">
        <fgColor rgb="FFCCFFCC"/>
        <bgColor indexed="64"/>
      </patternFill>
    </fill>
    <fill>
      <patternFill patternType="solid">
        <fgColor rgb="FFFFCCCC"/>
        <bgColor indexed="64"/>
      </patternFill>
    </fill>
    <fill>
      <patternFill patternType="solid">
        <fgColor theme="3" tint="0.59999389629810485"/>
        <bgColor indexed="64"/>
      </patternFill>
    </fill>
    <fill>
      <patternFill patternType="solid">
        <fgColor rgb="FFFF6600"/>
        <bgColor indexed="64"/>
      </patternFill>
    </fill>
    <fill>
      <patternFill patternType="solid">
        <fgColor theme="5"/>
        <bgColor theme="5"/>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medium">
        <color rgb="FFE6E6E6"/>
      </left>
      <right style="medium">
        <color rgb="FFE6E6E6"/>
      </right>
      <top style="medium">
        <color rgb="FFE6E6E6"/>
      </top>
      <bottom style="medium">
        <color rgb="FFE6E6E6"/>
      </bottom>
      <diagonal/>
    </border>
    <border>
      <left/>
      <right style="medium">
        <color rgb="FFE6E6E6"/>
      </right>
      <top style="medium">
        <color rgb="FFE6E6E6"/>
      </top>
      <bottom style="medium">
        <color rgb="FFE6E6E6"/>
      </bottom>
      <diagonal/>
    </border>
    <border>
      <left style="medium">
        <color rgb="FFE6E6E6"/>
      </left>
      <right style="medium">
        <color rgb="FFE6E6E6"/>
      </right>
      <top/>
      <bottom style="medium">
        <color rgb="FFE6E6E6"/>
      </bottom>
      <diagonal/>
    </border>
    <border>
      <left/>
      <right style="medium">
        <color rgb="FFE6E6E6"/>
      </right>
      <top/>
      <bottom style="medium">
        <color rgb="FFE6E6E6"/>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top/>
      <bottom style="thin">
        <color indexed="64"/>
      </bottom>
      <diagonal/>
    </border>
    <border>
      <left/>
      <right style="medium">
        <color indexed="64"/>
      </right>
      <top/>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thick">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
      <left style="medium">
        <color rgb="FFA3A3A3"/>
      </left>
      <right style="medium">
        <color rgb="FFA3A3A3"/>
      </right>
      <top/>
      <bottom style="medium">
        <color rgb="FFA3A3A3"/>
      </bottom>
      <diagonal/>
    </border>
    <border>
      <left/>
      <right style="medium">
        <color rgb="FFA3A3A3"/>
      </right>
      <top/>
      <bottom style="medium">
        <color rgb="FFA3A3A3"/>
      </bottom>
      <diagonal/>
    </border>
    <border>
      <left/>
      <right/>
      <top/>
      <bottom style="medium">
        <color rgb="FFA3A3A3"/>
      </bottom>
      <diagonal/>
    </border>
    <border>
      <left/>
      <right style="medium">
        <color rgb="FFA3A3A3"/>
      </right>
      <top/>
      <bottom/>
      <diagonal/>
    </border>
    <border>
      <left style="medium">
        <color rgb="FFA3A3A3"/>
      </left>
      <right style="medium">
        <color rgb="FFA3A3A3"/>
      </right>
      <top/>
      <bottom/>
      <diagonal/>
    </border>
  </borders>
  <cellStyleXfs count="6">
    <xf numFmtId="0" fontId="0" fillId="0" borderId="0">
      <alignment vertical="top" wrapText="1"/>
    </xf>
    <xf numFmtId="0" fontId="2" fillId="0" borderId="0"/>
    <xf numFmtId="0" fontId="1" fillId="0" borderId="0"/>
    <xf numFmtId="0" fontId="2" fillId="0" borderId="0"/>
    <xf numFmtId="0" fontId="2" fillId="0" borderId="0">
      <alignment vertical="top" wrapText="1"/>
    </xf>
    <xf numFmtId="9" fontId="2" fillId="0" borderId="0" applyFont="0" applyFill="0" applyBorder="0" applyAlignment="0" applyProtection="0"/>
  </cellStyleXfs>
  <cellXfs count="929">
    <xf numFmtId="0" fontId="0" fillId="0" borderId="0" xfId="0">
      <alignment vertical="top" wrapText="1"/>
    </xf>
    <xf numFmtId="0" fontId="11" fillId="0" borderId="0" xfId="0" applyFont="1">
      <alignment vertical="top" wrapText="1"/>
    </xf>
    <xf numFmtId="0" fontId="2" fillId="0" borderId="0" xfId="0" applyFont="1">
      <alignment vertical="top" wrapText="1"/>
    </xf>
    <xf numFmtId="0" fontId="14" fillId="7" borderId="16" xfId="1" applyFont="1" applyFill="1" applyBorder="1" applyAlignment="1" applyProtection="1">
      <alignment horizontal="center" vertical="top" wrapText="1"/>
      <protection locked="0"/>
    </xf>
    <xf numFmtId="0" fontId="16" fillId="0" borderId="1" xfId="2" applyFont="1" applyBorder="1"/>
    <xf numFmtId="0" fontId="16" fillId="0" borderId="0" xfId="2" applyFont="1"/>
    <xf numFmtId="0" fontId="13" fillId="0" borderId="0" xfId="0" applyFont="1">
      <alignment vertical="top" wrapText="1"/>
    </xf>
    <xf numFmtId="0" fontId="13" fillId="0" borderId="6" xfId="0" applyFont="1" applyBorder="1" applyAlignment="1">
      <alignment horizontal="left" vertical="top" wrapText="1"/>
    </xf>
    <xf numFmtId="0" fontId="13" fillId="0" borderId="1" xfId="0" applyFont="1" applyBorder="1">
      <alignment vertical="top" wrapText="1"/>
    </xf>
    <xf numFmtId="0" fontId="13" fillId="0" borderId="18" xfId="0" applyFont="1" applyBorder="1">
      <alignment vertical="top" wrapText="1"/>
    </xf>
    <xf numFmtId="0" fontId="15" fillId="7" borderId="5" xfId="0" applyFont="1" applyFill="1" applyBorder="1">
      <alignment vertical="top" wrapText="1"/>
    </xf>
    <xf numFmtId="0" fontId="15" fillId="7" borderId="17" xfId="0" applyFont="1" applyFill="1" applyBorder="1">
      <alignment vertical="top" wrapText="1"/>
    </xf>
    <xf numFmtId="0" fontId="14" fillId="7" borderId="1" xfId="2" applyFont="1" applyFill="1" applyBorder="1" applyAlignment="1">
      <alignment horizontal="center" vertical="top"/>
    </xf>
    <xf numFmtId="0" fontId="17" fillId="0" borderId="0" xfId="2" applyFont="1" applyAlignment="1">
      <alignment horizontal="center" vertical="top"/>
    </xf>
    <xf numFmtId="0" fontId="14" fillId="7" borderId="1" xfId="2" applyFont="1" applyFill="1" applyBorder="1" applyAlignment="1">
      <alignment horizontal="center" vertical="top" wrapText="1"/>
    </xf>
    <xf numFmtId="0" fontId="17" fillId="0" borderId="0" xfId="2" applyFont="1" applyAlignment="1">
      <alignment horizontal="center" vertical="center" wrapText="1"/>
    </xf>
    <xf numFmtId="0" fontId="14" fillId="7" borderId="1" xfId="1" applyFont="1" applyFill="1" applyBorder="1" applyAlignment="1" applyProtection="1">
      <alignment horizontal="center" vertical="center" wrapText="1"/>
      <protection locked="0"/>
    </xf>
    <xf numFmtId="0" fontId="13" fillId="3" borderId="1" xfId="1" applyFont="1" applyFill="1" applyBorder="1" applyAlignment="1" applyProtection="1">
      <alignment horizontal="center" vertical="top" wrapText="1"/>
      <protection locked="0"/>
    </xf>
    <xf numFmtId="0" fontId="13" fillId="3" borderId="1" xfId="1" applyFont="1" applyFill="1" applyBorder="1" applyAlignment="1" applyProtection="1">
      <alignment horizontal="left" vertical="top" wrapText="1"/>
      <protection locked="0"/>
    </xf>
    <xf numFmtId="0" fontId="13" fillId="3" borderId="1" xfId="1" applyFont="1" applyFill="1" applyBorder="1" applyAlignment="1" applyProtection="1">
      <alignment horizontal="center" vertical="center" wrapText="1"/>
      <protection locked="0"/>
    </xf>
    <xf numFmtId="0" fontId="13" fillId="3" borderId="1" xfId="2" applyFont="1" applyFill="1" applyBorder="1" applyAlignment="1">
      <alignment vertical="top" wrapText="1"/>
    </xf>
    <xf numFmtId="0" fontId="14" fillId="7" borderId="1" xfId="2" applyFont="1" applyFill="1" applyBorder="1" applyAlignment="1">
      <alignment horizontal="center" vertical="center" wrapText="1"/>
    </xf>
    <xf numFmtId="0" fontId="15" fillId="0" borderId="0" xfId="0" applyFont="1">
      <alignment vertical="top" wrapText="1"/>
    </xf>
    <xf numFmtId="49" fontId="8" fillId="0" borderId="13" xfId="0" applyNumberFormat="1" applyFont="1" applyBorder="1" applyAlignment="1">
      <alignment horizontal="center" vertical="center" wrapText="1"/>
    </xf>
    <xf numFmtId="164" fontId="8" fillId="2" borderId="10" xfId="0" applyNumberFormat="1"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4" xfId="0" applyFont="1" applyBorder="1" applyAlignment="1">
      <alignment horizontal="center" vertical="center" wrapText="1"/>
    </xf>
    <xf numFmtId="0" fontId="3" fillId="0" borderId="13" xfId="0" applyFont="1" applyBorder="1" applyAlignment="1">
      <alignment horizontal="center" vertical="center" wrapText="1"/>
    </xf>
    <xf numFmtId="0" fontId="8" fillId="0" borderId="13" xfId="0" applyFont="1" applyBorder="1" applyAlignment="1">
      <alignment horizontal="center" vertical="center" wrapText="1"/>
    </xf>
    <xf numFmtId="0" fontId="12" fillId="8" borderId="4" xfId="0" applyFont="1" applyFill="1" applyBorder="1" applyAlignment="1">
      <alignment horizontal="center" vertical="top" wrapText="1"/>
    </xf>
    <xf numFmtId="0" fontId="12" fillId="8" borderId="4" xfId="1" applyFont="1" applyFill="1" applyBorder="1" applyAlignment="1">
      <alignment horizontal="center" vertical="top"/>
    </xf>
    <xf numFmtId="0" fontId="12" fillId="8" borderId="4" xfId="1" applyFont="1" applyFill="1" applyBorder="1" applyAlignment="1">
      <alignment horizontal="center" vertical="top" wrapText="1"/>
    </xf>
    <xf numFmtId="0" fontId="13" fillId="8" borderId="0" xfId="0" applyFont="1" applyFill="1">
      <alignment vertical="top" wrapText="1"/>
    </xf>
    <xf numFmtId="0" fontId="14" fillId="7" borderId="2" xfId="1" applyFont="1" applyFill="1" applyBorder="1" applyAlignment="1" applyProtection="1">
      <alignment horizontal="center" vertical="center" wrapText="1"/>
      <protection locked="0"/>
    </xf>
    <xf numFmtId="0" fontId="7" fillId="0" borderId="0" xfId="0" applyFont="1" applyAlignment="1">
      <alignment horizontal="center" vertical="top" wrapText="1"/>
    </xf>
    <xf numFmtId="0" fontId="7" fillId="0" borderId="0" xfId="0" applyFont="1">
      <alignment vertical="top" wrapText="1"/>
    </xf>
    <xf numFmtId="0" fontId="7" fillId="0" borderId="0" xfId="1" applyFont="1" applyAlignment="1">
      <alignment horizontal="center" vertical="top"/>
    </xf>
    <xf numFmtId="0" fontId="16" fillId="3" borderId="0" xfId="2" applyFont="1" applyFill="1"/>
    <xf numFmtId="0" fontId="13" fillId="3" borderId="1" xfId="1" applyFont="1" applyFill="1" applyBorder="1" applyAlignment="1">
      <alignment horizontal="center" vertical="top" wrapText="1"/>
    </xf>
    <xf numFmtId="15" fontId="16" fillId="0" borderId="0" xfId="0" applyNumberFormat="1" applyFont="1" applyAlignment="1">
      <alignment horizontal="left" vertical="center" wrapText="1"/>
    </xf>
    <xf numFmtId="0" fontId="0" fillId="0" borderId="1" xfId="0" applyBorder="1">
      <alignment vertical="top" wrapText="1"/>
    </xf>
    <xf numFmtId="0" fontId="0" fillId="0" borderId="0" xfId="0" applyProtection="1">
      <alignment vertical="top" wrapText="1"/>
      <protection locked="0"/>
    </xf>
    <xf numFmtId="164" fontId="8" fillId="11" borderId="10" xfId="0" applyNumberFormat="1" applyFont="1" applyFill="1" applyBorder="1" applyAlignment="1">
      <alignment horizontal="center" vertical="center" wrapText="1"/>
    </xf>
    <xf numFmtId="164" fontId="8" fillId="10" borderId="10" xfId="0" applyNumberFormat="1" applyFont="1" applyFill="1" applyBorder="1" applyAlignment="1">
      <alignment horizontal="center" vertical="center" wrapText="1"/>
    </xf>
    <xf numFmtId="164" fontId="8" fillId="12" borderId="24" xfId="0" applyNumberFormat="1" applyFont="1" applyFill="1" applyBorder="1" applyAlignment="1">
      <alignment horizontal="center" vertical="center" wrapText="1"/>
    </xf>
    <xf numFmtId="164" fontId="8" fillId="5" borderId="10" xfId="0" applyNumberFormat="1" applyFont="1" applyFill="1" applyBorder="1" applyAlignment="1">
      <alignment horizontal="center" vertical="center" wrapText="1"/>
    </xf>
    <xf numFmtId="49" fontId="8" fillId="0" borderId="10" xfId="0" applyNumberFormat="1" applyFont="1" applyBorder="1" applyAlignment="1">
      <alignment horizontal="center" vertical="center" wrapText="1"/>
    </xf>
    <xf numFmtId="49" fontId="8" fillId="0" borderId="24" xfId="0" applyNumberFormat="1" applyFont="1" applyBorder="1" applyAlignment="1">
      <alignment horizontal="center" vertical="center" wrapText="1"/>
    </xf>
    <xf numFmtId="0" fontId="6" fillId="4" borderId="1" xfId="1" applyFont="1" applyFill="1" applyBorder="1" applyAlignment="1">
      <alignment horizontal="center" vertical="center" wrapText="1"/>
    </xf>
    <xf numFmtId="0" fontId="7" fillId="0" borderId="0" xfId="1" applyFont="1" applyAlignment="1">
      <alignment horizontal="center" vertical="center"/>
    </xf>
    <xf numFmtId="0" fontId="19" fillId="0" borderId="24" xfId="0" applyFont="1" applyBorder="1" applyProtection="1">
      <alignment vertical="top" wrapText="1"/>
      <protection locked="0"/>
    </xf>
    <xf numFmtId="0" fontId="19" fillId="0" borderId="0" xfId="0" applyFont="1">
      <alignment vertical="top" wrapText="1"/>
    </xf>
    <xf numFmtId="0" fontId="0" fillId="0" borderId="0" xfId="0" applyAlignment="1">
      <alignment vertical="center" wrapText="1"/>
    </xf>
    <xf numFmtId="0" fontId="2" fillId="0" borderId="0" xfId="0" applyFont="1" applyAlignment="1">
      <alignment vertical="center" wrapText="1"/>
    </xf>
    <xf numFmtId="0" fontId="13" fillId="0" borderId="1" xfId="0" applyFont="1" applyBorder="1" applyAlignment="1">
      <alignment vertical="center" wrapText="1"/>
    </xf>
    <xf numFmtId="0" fontId="14" fillId="7" borderId="1" xfId="2" applyFont="1" applyFill="1" applyBorder="1" applyAlignment="1">
      <alignment vertical="center" wrapText="1"/>
    </xf>
    <xf numFmtId="0" fontId="16" fillId="0" borderId="0" xfId="2" applyFont="1" applyAlignment="1">
      <alignment vertical="center" wrapText="1"/>
    </xf>
    <xf numFmtId="0" fontId="7" fillId="0" borderId="0" xfId="1" applyFont="1" applyAlignment="1">
      <alignment vertical="center" wrapText="1"/>
    </xf>
    <xf numFmtId="0" fontId="14" fillId="7" borderId="2" xfId="1" applyFont="1" applyFill="1" applyBorder="1" applyAlignment="1" applyProtection="1">
      <alignment vertical="center" wrapText="1"/>
      <protection locked="0"/>
    </xf>
    <xf numFmtId="0" fontId="14" fillId="7" borderId="2" xfId="2" applyFont="1" applyFill="1" applyBorder="1" applyAlignment="1">
      <alignment vertical="center" wrapText="1"/>
    </xf>
    <xf numFmtId="165" fontId="17" fillId="0" borderId="0" xfId="2" applyNumberFormat="1" applyFont="1" applyAlignment="1">
      <alignment vertical="center" wrapText="1"/>
    </xf>
    <xf numFmtId="0" fontId="17" fillId="0" borderId="0" xfId="2" applyFont="1" applyAlignment="1">
      <alignment vertical="center" wrapText="1"/>
    </xf>
    <xf numFmtId="0" fontId="13" fillId="0" borderId="0" xfId="2" applyFont="1" applyAlignment="1">
      <alignment vertical="center" wrapText="1"/>
    </xf>
    <xf numFmtId="165" fontId="16" fillId="0" borderId="0" xfId="2" applyNumberFormat="1" applyFont="1" applyAlignment="1">
      <alignment vertical="center" wrapText="1"/>
    </xf>
    <xf numFmtId="0" fontId="0" fillId="3" borderId="0" xfId="0" applyFill="1">
      <alignment vertical="top" wrapText="1"/>
    </xf>
    <xf numFmtId="0" fontId="8" fillId="14" borderId="10" xfId="0" applyFont="1" applyFill="1" applyBorder="1" applyAlignment="1">
      <alignment horizontal="center" vertical="center" wrapText="1"/>
    </xf>
    <xf numFmtId="0" fontId="8" fillId="15" borderId="10" xfId="0" applyFont="1" applyFill="1" applyBorder="1" applyAlignment="1">
      <alignment horizontal="center" vertical="center" wrapText="1"/>
    </xf>
    <xf numFmtId="0" fontId="8" fillId="16" borderId="10" xfId="0" applyFont="1" applyFill="1" applyBorder="1" applyAlignment="1">
      <alignment horizontal="center" vertical="center" wrapText="1"/>
    </xf>
    <xf numFmtId="0" fontId="8" fillId="17" borderId="10" xfId="0" applyFont="1" applyFill="1" applyBorder="1" applyAlignment="1">
      <alignment horizontal="center" vertical="center" wrapText="1"/>
    </xf>
    <xf numFmtId="0" fontId="8" fillId="18" borderId="10" xfId="0" applyFont="1" applyFill="1" applyBorder="1" applyAlignment="1">
      <alignment horizontal="center" vertical="center" wrapText="1"/>
    </xf>
    <xf numFmtId="0" fontId="8" fillId="18" borderId="24" xfId="0" applyFont="1" applyFill="1" applyBorder="1" applyAlignment="1">
      <alignment horizontal="center" vertical="center" wrapText="1"/>
    </xf>
    <xf numFmtId="0" fontId="8" fillId="17" borderId="24" xfId="0" applyFont="1" applyFill="1" applyBorder="1" applyAlignment="1">
      <alignment horizontal="center" vertical="center" wrapText="1"/>
    </xf>
    <xf numFmtId="0" fontId="8" fillId="16" borderId="24" xfId="0" applyFont="1" applyFill="1" applyBorder="1" applyAlignment="1">
      <alignment horizontal="center" vertical="center" wrapText="1"/>
    </xf>
    <xf numFmtId="0" fontId="3" fillId="0" borderId="24" xfId="0" applyFont="1" applyBorder="1" applyAlignment="1">
      <alignment horizontal="center" vertical="center" wrapText="1"/>
    </xf>
    <xf numFmtId="0" fontId="0" fillId="0" borderId="29" xfId="0" applyBorder="1" applyAlignment="1"/>
    <xf numFmtId="0" fontId="0" fillId="0" borderId="31" xfId="0" applyBorder="1" applyAlignment="1"/>
    <xf numFmtId="0" fontId="0" fillId="0" borderId="34" xfId="0" applyBorder="1" applyAlignment="1"/>
    <xf numFmtId="0" fontId="0" fillId="0" borderId="30" xfId="0" applyBorder="1" applyAlignment="1"/>
    <xf numFmtId="0" fontId="0" fillId="0" borderId="30" xfId="0" applyBorder="1" applyAlignment="1">
      <alignment vertical="top"/>
    </xf>
    <xf numFmtId="0" fontId="0" fillId="0" borderId="13" xfId="0" applyBorder="1">
      <alignment vertical="top" wrapText="1"/>
    </xf>
    <xf numFmtId="0" fontId="0" fillId="0" borderId="0" xfId="0" applyAlignment="1">
      <alignment horizontal="left" vertical="top" wrapText="1"/>
    </xf>
    <xf numFmtId="0" fontId="3" fillId="11" borderId="1" xfId="0" applyFont="1" applyFill="1" applyBorder="1">
      <alignment vertical="top" wrapText="1"/>
    </xf>
    <xf numFmtId="0" fontId="3" fillId="10" borderId="1" xfId="0" applyFont="1" applyFill="1" applyBorder="1" applyAlignment="1">
      <alignment vertical="center" wrapText="1"/>
    </xf>
    <xf numFmtId="0" fontId="3" fillId="12" borderId="1" xfId="0" applyFont="1" applyFill="1" applyBorder="1" applyAlignment="1">
      <alignment vertical="center" wrapText="1"/>
    </xf>
    <xf numFmtId="0" fontId="26" fillId="3" borderId="1" xfId="0" applyFont="1" applyFill="1" applyBorder="1" applyAlignment="1">
      <alignment vertical="center" wrapText="1"/>
    </xf>
    <xf numFmtId="164" fontId="8" fillId="11" borderId="24" xfId="0" applyNumberFormat="1" applyFont="1" applyFill="1" applyBorder="1" applyAlignment="1">
      <alignment horizontal="center" vertical="center" wrapText="1"/>
    </xf>
    <xf numFmtId="164" fontId="8" fillId="10" borderId="24" xfId="0" applyNumberFormat="1" applyFont="1" applyFill="1" applyBorder="1" applyAlignment="1">
      <alignment horizontal="center" vertical="center" wrapText="1"/>
    </xf>
    <xf numFmtId="0" fontId="18" fillId="3" borderId="0" xfId="0" applyFont="1" applyFill="1" applyAlignment="1">
      <alignment horizontal="center" vertical="top" wrapText="1"/>
    </xf>
    <xf numFmtId="164" fontId="8" fillId="3" borderId="0" xfId="0" applyNumberFormat="1" applyFont="1" applyFill="1" applyAlignment="1">
      <alignment horizontal="center" vertical="center" wrapText="1"/>
    </xf>
    <xf numFmtId="0" fontId="8" fillId="3" borderId="0" xfId="0" applyFont="1" applyFill="1" applyAlignment="1">
      <alignment horizontal="center" vertical="center" wrapText="1"/>
    </xf>
    <xf numFmtId="0" fontId="10" fillId="3" borderId="0" xfId="0" applyFont="1" applyFill="1" applyAlignment="1">
      <alignment horizontal="center" vertical="center" wrapText="1"/>
    </xf>
    <xf numFmtId="0" fontId="10" fillId="3" borderId="29" xfId="0" applyFont="1" applyFill="1" applyBorder="1" applyAlignment="1">
      <alignment vertical="center" wrapText="1"/>
    </xf>
    <xf numFmtId="0" fontId="2" fillId="0" borderId="1" xfId="0" applyFont="1" applyBorder="1" applyAlignment="1">
      <alignment vertical="center" wrapText="1"/>
    </xf>
    <xf numFmtId="0" fontId="13" fillId="5" borderId="1" xfId="0" applyFont="1" applyFill="1" applyBorder="1" applyAlignment="1">
      <alignment vertical="center" wrapText="1"/>
    </xf>
    <xf numFmtId="0" fontId="27" fillId="0" borderId="1" xfId="0" applyFont="1" applyBorder="1" applyAlignment="1">
      <alignment vertical="center" wrapText="1"/>
    </xf>
    <xf numFmtId="0" fontId="27" fillId="20" borderId="1" xfId="2" applyFont="1" applyFill="1" applyBorder="1" applyAlignment="1">
      <alignment vertical="center" wrapText="1"/>
    </xf>
    <xf numFmtId="0" fontId="27" fillId="20" borderId="1" xfId="1" applyFont="1" applyFill="1" applyBorder="1" applyAlignment="1">
      <alignment vertical="center" wrapText="1"/>
    </xf>
    <xf numFmtId="0" fontId="27" fillId="20" borderId="22" xfId="2" applyFont="1" applyFill="1" applyBorder="1" applyAlignment="1">
      <alignment horizontal="center" vertical="top" wrapText="1"/>
    </xf>
    <xf numFmtId="0" fontId="27" fillId="20" borderId="19" xfId="1" applyFont="1" applyFill="1" applyBorder="1" applyAlignment="1">
      <alignment horizontal="center" vertical="top"/>
    </xf>
    <xf numFmtId="0" fontId="27" fillId="20" borderId="19" xfId="1" applyFont="1" applyFill="1" applyBorder="1" applyAlignment="1">
      <alignment horizontal="center" vertical="center" wrapText="1"/>
    </xf>
    <xf numFmtId="0" fontId="27" fillId="20" borderId="20" xfId="1" applyFont="1" applyFill="1" applyBorder="1" applyAlignment="1">
      <alignment horizontal="center" vertical="top"/>
    </xf>
    <xf numFmtId="0" fontId="27" fillId="20" borderId="21" xfId="2" applyFont="1" applyFill="1" applyBorder="1" applyAlignment="1">
      <alignment horizontal="center" vertical="top" wrapText="1"/>
    </xf>
    <xf numFmtId="0" fontId="27" fillId="20" borderId="19" xfId="1" applyFont="1" applyFill="1" applyBorder="1" applyAlignment="1">
      <alignment horizontal="center" vertical="top" wrapText="1"/>
    </xf>
    <xf numFmtId="0" fontId="27" fillId="20" borderId="25" xfId="2" applyFont="1" applyFill="1" applyBorder="1" applyAlignment="1">
      <alignment horizontal="center" vertical="top" wrapText="1"/>
    </xf>
    <xf numFmtId="0" fontId="27" fillId="20" borderId="26" xfId="2" applyFont="1" applyFill="1" applyBorder="1" applyAlignment="1">
      <alignment horizontal="center" vertical="top" wrapText="1"/>
    </xf>
    <xf numFmtId="0" fontId="27" fillId="20" borderId="23" xfId="1" applyFont="1" applyFill="1" applyBorder="1" applyAlignment="1">
      <alignment horizontal="center" vertical="top"/>
    </xf>
    <xf numFmtId="0" fontId="27" fillId="20" borderId="23" xfId="1" applyFont="1" applyFill="1" applyBorder="1" applyAlignment="1">
      <alignment horizontal="center" vertical="top" wrapText="1"/>
    </xf>
    <xf numFmtId="0" fontId="27" fillId="20" borderId="23" xfId="1" applyFont="1" applyFill="1" applyBorder="1" applyAlignment="1">
      <alignment horizontal="center" vertical="center" wrapText="1"/>
    </xf>
    <xf numFmtId="0" fontId="27" fillId="20" borderId="27" xfId="2" applyFont="1" applyFill="1" applyBorder="1" applyAlignment="1">
      <alignment horizontal="center" vertical="top" wrapText="1"/>
    </xf>
    <xf numFmtId="0" fontId="0" fillId="0" borderId="1" xfId="0" applyBorder="1" applyAlignment="1">
      <alignment vertical="center" wrapText="1"/>
    </xf>
    <xf numFmtId="0" fontId="30" fillId="0" borderId="0" xfId="0" applyFont="1" applyAlignment="1">
      <alignment vertical="center" wrapText="1"/>
    </xf>
    <xf numFmtId="0" fontId="31" fillId="0" borderId="0" xfId="0" applyFont="1" applyAlignment="1">
      <alignment vertical="center" wrapText="1"/>
    </xf>
    <xf numFmtId="0" fontId="0" fillId="0" borderId="0" xfId="0" applyAlignment="1">
      <alignment horizontal="left" vertical="center" wrapText="1" indent="1"/>
    </xf>
    <xf numFmtId="0" fontId="32" fillId="0" borderId="0" xfId="0" applyFont="1" applyAlignment="1">
      <alignment horizontal="left" vertical="center" wrapText="1" indent="1"/>
    </xf>
    <xf numFmtId="0" fontId="33" fillId="0" borderId="0" xfId="0" applyFont="1">
      <alignment vertical="top" wrapText="1"/>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right" vertical="center" wrapText="1"/>
    </xf>
    <xf numFmtId="10" fontId="11" fillId="0" borderId="1" xfId="0" applyNumberFormat="1" applyFont="1" applyBorder="1" applyAlignment="1">
      <alignment horizontal="center" vertical="center" wrapText="1"/>
    </xf>
    <xf numFmtId="9" fontId="11"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16" fontId="2" fillId="0" borderId="1" xfId="0" applyNumberFormat="1" applyFont="1" applyBorder="1" applyAlignment="1">
      <alignment horizontal="center" vertical="center" wrapText="1"/>
    </xf>
    <xf numFmtId="0" fontId="0" fillId="0" borderId="0" xfId="0" applyAlignment="1">
      <alignment horizontal="right" vertical="center" wrapText="1" indent="1"/>
    </xf>
    <xf numFmtId="0" fontId="46" fillId="0" borderId="0" xfId="0" applyFont="1" applyAlignment="1">
      <alignment horizontal="left" vertical="center" wrapText="1"/>
    </xf>
    <xf numFmtId="0" fontId="37" fillId="0" borderId="0" xfId="0" applyFont="1">
      <alignment vertical="top" wrapText="1"/>
    </xf>
    <xf numFmtId="0" fontId="36" fillId="0" borderId="0" xfId="0" applyFont="1">
      <alignment vertical="top" wrapText="1"/>
    </xf>
    <xf numFmtId="0" fontId="40" fillId="0" borderId="0" xfId="0" applyFont="1">
      <alignment vertical="top" wrapText="1"/>
    </xf>
    <xf numFmtId="0" fontId="41" fillId="0" borderId="0" xfId="0" applyFont="1">
      <alignment vertical="top" wrapText="1"/>
    </xf>
    <xf numFmtId="0" fontId="42" fillId="0" borderId="0" xfId="0" applyFont="1">
      <alignment vertical="top" wrapText="1"/>
    </xf>
    <xf numFmtId="0" fontId="43" fillId="0" borderId="0" xfId="0" applyFont="1">
      <alignment vertical="top" wrapText="1"/>
    </xf>
    <xf numFmtId="0" fontId="44" fillId="0" borderId="0" xfId="0" applyFont="1">
      <alignment vertical="top" wrapText="1"/>
    </xf>
    <xf numFmtId="0" fontId="38" fillId="0" borderId="0" xfId="0" applyFont="1">
      <alignment vertical="top" wrapText="1"/>
    </xf>
    <xf numFmtId="0" fontId="39" fillId="0" borderId="0" xfId="0" applyFont="1">
      <alignment vertical="top" wrapText="1"/>
    </xf>
    <xf numFmtId="0" fontId="2" fillId="0" borderId="0" xfId="0" applyFont="1" applyAlignment="1">
      <alignment horizontal="left" vertical="center" wrapText="1" indent="1"/>
    </xf>
    <xf numFmtId="0" fontId="49" fillId="3" borderId="1" xfId="0" applyFont="1" applyFill="1" applyBorder="1">
      <alignment vertical="top" wrapText="1"/>
    </xf>
    <xf numFmtId="0" fontId="52" fillId="3" borderId="1" xfId="0" applyFont="1" applyFill="1" applyBorder="1">
      <alignment vertical="top" wrapText="1"/>
    </xf>
    <xf numFmtId="0" fontId="54" fillId="3" borderId="1" xfId="0" applyFont="1" applyFill="1" applyBorder="1">
      <alignment vertical="top" wrapText="1"/>
    </xf>
    <xf numFmtId="0" fontId="11" fillId="0" borderId="0" xfId="0" applyFont="1" applyAlignment="1">
      <alignment horizontal="left" vertical="center" wrapText="1" indent="1"/>
    </xf>
    <xf numFmtId="0" fontId="11" fillId="0" borderId="0" xfId="0" applyFont="1" applyAlignment="1">
      <alignment horizontal="left" vertical="top" wrapText="1" indent="1"/>
    </xf>
    <xf numFmtId="0" fontId="32" fillId="2" borderId="0" xfId="0" applyFont="1" applyFill="1">
      <alignment vertical="top" wrapText="1"/>
    </xf>
    <xf numFmtId="0" fontId="54" fillId="3" borderId="1" xfId="0" applyFont="1" applyFill="1" applyBorder="1" applyAlignment="1">
      <alignment vertical="top"/>
    </xf>
    <xf numFmtId="0" fontId="55" fillId="3" borderId="1" xfId="0" applyFont="1" applyFill="1" applyBorder="1" applyAlignment="1">
      <alignment vertical="top"/>
    </xf>
    <xf numFmtId="0" fontId="51" fillId="3" borderId="1" xfId="0" applyFont="1" applyFill="1" applyBorder="1" applyAlignment="1">
      <alignment vertical="top"/>
    </xf>
    <xf numFmtId="0" fontId="55" fillId="3" borderId="1" xfId="0" applyFont="1" applyFill="1" applyBorder="1">
      <alignment vertical="top" wrapText="1"/>
    </xf>
    <xf numFmtId="0" fontId="51" fillId="3" borderId="1" xfId="0" applyFont="1" applyFill="1" applyBorder="1">
      <alignment vertical="top" wrapText="1"/>
    </xf>
    <xf numFmtId="0" fontId="53" fillId="3" borderId="1" xfId="0" applyFont="1" applyFill="1" applyBorder="1">
      <alignment vertical="top" wrapText="1"/>
    </xf>
    <xf numFmtId="0" fontId="31" fillId="2" borderId="0" xfId="0" applyFont="1" applyFill="1" applyAlignment="1">
      <alignment vertical="center" wrapText="1"/>
    </xf>
    <xf numFmtId="0" fontId="50" fillId="2" borderId="1" xfId="0" applyFont="1" applyFill="1" applyBorder="1" applyAlignment="1">
      <alignment horizontal="left" vertical="center" wrapText="1"/>
    </xf>
    <xf numFmtId="0" fontId="13" fillId="0" borderId="0" xfId="0" applyFont="1" applyAlignment="1">
      <alignment horizontal="right" vertical="center" wrapText="1" indent="1"/>
    </xf>
    <xf numFmtId="0" fontId="56" fillId="10" borderId="1" xfId="0" applyFont="1" applyFill="1" applyBorder="1">
      <alignment vertical="top" wrapText="1"/>
    </xf>
    <xf numFmtId="0" fontId="57" fillId="23" borderId="1" xfId="0" applyFont="1" applyFill="1" applyBorder="1">
      <alignment vertical="top" wrapText="1"/>
    </xf>
    <xf numFmtId="0" fontId="59" fillId="23" borderId="1" xfId="0" applyFont="1" applyFill="1" applyBorder="1">
      <alignment vertical="top" wrapText="1"/>
    </xf>
    <xf numFmtId="0" fontId="56" fillId="10" borderId="2" xfId="0" applyFont="1" applyFill="1" applyBorder="1">
      <alignment vertical="top" wrapText="1"/>
    </xf>
    <xf numFmtId="0" fontId="59" fillId="22" borderId="2" xfId="0" applyFont="1" applyFill="1" applyBorder="1">
      <alignment vertical="top" wrapText="1"/>
    </xf>
    <xf numFmtId="0" fontId="57" fillId="22" borderId="1" xfId="0" applyFont="1" applyFill="1" applyBorder="1">
      <alignment vertical="top" wrapText="1"/>
    </xf>
    <xf numFmtId="0" fontId="58" fillId="22" borderId="1" xfId="0" applyFont="1" applyFill="1" applyBorder="1">
      <alignment vertical="top" wrapText="1"/>
    </xf>
    <xf numFmtId="0" fontId="59" fillId="22" borderId="1" xfId="0" applyFont="1" applyFill="1" applyBorder="1">
      <alignment vertical="top" wrapText="1"/>
    </xf>
    <xf numFmtId="0" fontId="60" fillId="22" borderId="1" xfId="0" applyFont="1" applyFill="1" applyBorder="1">
      <alignment vertical="top" wrapText="1"/>
    </xf>
    <xf numFmtId="0" fontId="57" fillId="13" borderId="1" xfId="0" applyFont="1" applyFill="1" applyBorder="1">
      <alignment vertical="top" wrapText="1"/>
    </xf>
    <xf numFmtId="0" fontId="59" fillId="13" borderId="1" xfId="0" applyFont="1" applyFill="1" applyBorder="1">
      <alignment vertical="top" wrapText="1"/>
    </xf>
    <xf numFmtId="0" fontId="57" fillId="23" borderId="4" xfId="0" applyFont="1" applyFill="1" applyBorder="1">
      <alignment vertical="top" wrapText="1"/>
    </xf>
    <xf numFmtId="0" fontId="59" fillId="23" borderId="4" xfId="0" applyFont="1" applyFill="1" applyBorder="1">
      <alignment vertical="top" wrapText="1"/>
    </xf>
    <xf numFmtId="0" fontId="61" fillId="2" borderId="1" xfId="0" applyFont="1" applyFill="1" applyBorder="1" applyAlignment="1">
      <alignment horizontal="left" vertical="center" wrapText="1"/>
    </xf>
    <xf numFmtId="0" fontId="60" fillId="0" borderId="1" xfId="0" applyFont="1" applyBorder="1">
      <alignment vertical="top" wrapText="1"/>
    </xf>
    <xf numFmtId="0" fontId="13" fillId="22" borderId="1" xfId="0" applyFont="1" applyFill="1" applyBorder="1">
      <alignment vertical="top" wrapText="1"/>
    </xf>
    <xf numFmtId="0" fontId="62" fillId="22" borderId="1" xfId="0" applyFont="1" applyFill="1" applyBorder="1">
      <alignment vertical="top" wrapText="1"/>
    </xf>
    <xf numFmtId="0" fontId="58" fillId="0" borderId="1" xfId="0" applyFont="1" applyBorder="1">
      <alignment vertical="top" wrapText="1"/>
    </xf>
    <xf numFmtId="0" fontId="62" fillId="0" borderId="1" xfId="0" applyFont="1" applyBorder="1">
      <alignment vertical="top" wrapText="1"/>
    </xf>
    <xf numFmtId="0" fontId="63" fillId="0" borderId="1" xfId="0" applyFont="1" applyBorder="1">
      <alignment vertical="top" wrapText="1"/>
    </xf>
    <xf numFmtId="0" fontId="13" fillId="22" borderId="9" xfId="0" applyFont="1" applyFill="1" applyBorder="1">
      <alignment vertical="top" wrapText="1"/>
    </xf>
    <xf numFmtId="0" fontId="58" fillId="22" borderId="9" xfId="0" applyFont="1" applyFill="1" applyBorder="1" applyAlignment="1">
      <alignment horizontal="right" vertical="top" wrapText="1"/>
    </xf>
    <xf numFmtId="0" fontId="59" fillId="22" borderId="9" xfId="0" applyFont="1" applyFill="1" applyBorder="1">
      <alignment vertical="top" wrapText="1"/>
    </xf>
    <xf numFmtId="0" fontId="60" fillId="22" borderId="9" xfId="0" applyFont="1" applyFill="1" applyBorder="1">
      <alignment vertical="top" wrapText="1"/>
    </xf>
    <xf numFmtId="0" fontId="27" fillId="0" borderId="1" xfId="0" applyFont="1" applyBorder="1">
      <alignment vertical="top" wrapText="1"/>
    </xf>
    <xf numFmtId="0" fontId="27" fillId="22" borderId="1" xfId="0" applyFont="1" applyFill="1" applyBorder="1">
      <alignment vertical="top" wrapText="1"/>
    </xf>
    <xf numFmtId="0" fontId="63" fillId="22" borderId="1" xfId="0" applyFont="1" applyFill="1" applyBorder="1">
      <alignment vertical="top" wrapText="1"/>
    </xf>
    <xf numFmtId="0" fontId="64" fillId="0" borderId="0" xfId="0" applyFont="1" applyAlignment="1">
      <alignment horizontal="left" vertical="center" wrapText="1"/>
    </xf>
    <xf numFmtId="0" fontId="62" fillId="23" borderId="1" xfId="0" applyFont="1" applyFill="1" applyBorder="1">
      <alignment vertical="top" wrapText="1"/>
    </xf>
    <xf numFmtId="0" fontId="13" fillId="23" borderId="1" xfId="0" applyFont="1" applyFill="1" applyBorder="1">
      <alignment vertical="top" wrapText="1"/>
    </xf>
    <xf numFmtId="0" fontId="66" fillId="0" borderId="0" xfId="0" applyFont="1" applyAlignment="1">
      <alignment horizontal="center" vertical="center" wrapText="1"/>
    </xf>
    <xf numFmtId="0" fontId="61" fillId="2" borderId="0" xfId="0" applyFont="1" applyFill="1" applyAlignment="1">
      <alignment horizontal="left" vertical="center" wrapText="1"/>
    </xf>
    <xf numFmtId="0" fontId="13" fillId="22" borderId="0" xfId="0" applyFont="1" applyFill="1">
      <alignment vertical="top" wrapText="1"/>
    </xf>
    <xf numFmtId="0" fontId="62" fillId="0" borderId="0" xfId="0" applyFont="1">
      <alignment vertical="top" wrapText="1"/>
    </xf>
    <xf numFmtId="0" fontId="63" fillId="22" borderId="0" xfId="0" applyFont="1" applyFill="1">
      <alignment vertical="top" wrapText="1"/>
    </xf>
    <xf numFmtId="0" fontId="63" fillId="0" borderId="0" xfId="0" applyFont="1">
      <alignment vertical="top" wrapText="1"/>
    </xf>
    <xf numFmtId="0" fontId="27" fillId="0" borderId="0" xfId="0" applyFont="1">
      <alignment vertical="top" wrapText="1"/>
    </xf>
    <xf numFmtId="0" fontId="61" fillId="0" borderId="0" xfId="0" applyFont="1" applyAlignment="1">
      <alignment horizontal="left" vertical="center" wrapText="1"/>
    </xf>
    <xf numFmtId="0" fontId="11" fillId="0" borderId="0" xfId="0" applyFont="1" applyAlignment="1">
      <alignment vertical="center" wrapText="1"/>
    </xf>
    <xf numFmtId="0" fontId="70" fillId="0" borderId="1" xfId="0" applyFont="1" applyBorder="1" applyAlignment="1">
      <alignment horizontal="center" vertical="center" wrapText="1"/>
    </xf>
    <xf numFmtId="0" fontId="70" fillId="0" borderId="1" xfId="0" applyFont="1" applyBorder="1" applyAlignment="1">
      <alignment vertical="center" wrapText="1"/>
    </xf>
    <xf numFmtId="0" fontId="19" fillId="0" borderId="1" xfId="0" applyFont="1" applyBorder="1" applyAlignment="1">
      <alignment vertical="center" wrapText="1"/>
    </xf>
    <xf numFmtId="0" fontId="19" fillId="5" borderId="1" xfId="0" applyFont="1" applyFill="1" applyBorder="1" applyAlignment="1">
      <alignment vertical="center" wrapText="1"/>
    </xf>
    <xf numFmtId="0" fontId="19" fillId="21" borderId="1" xfId="0" applyFont="1" applyFill="1" applyBorder="1" applyAlignment="1">
      <alignment vertical="center" wrapText="1"/>
    </xf>
    <xf numFmtId="0" fontId="19" fillId="19" borderId="1" xfId="0" applyFont="1" applyFill="1" applyBorder="1" applyAlignment="1">
      <alignment vertical="center" wrapText="1"/>
    </xf>
    <xf numFmtId="0" fontId="19" fillId="0" borderId="1" xfId="0" applyFont="1" applyBorder="1">
      <alignment vertical="top" wrapText="1"/>
    </xf>
    <xf numFmtId="0" fontId="70" fillId="21" borderId="1" xfId="0" applyFont="1" applyFill="1" applyBorder="1" applyAlignment="1">
      <alignment vertical="center" wrapText="1"/>
    </xf>
    <xf numFmtId="0" fontId="70" fillId="0" borderId="1" xfId="0" applyFont="1" applyBorder="1">
      <alignment vertical="top" wrapText="1"/>
    </xf>
    <xf numFmtId="0" fontId="10" fillId="0" borderId="0" xfId="0" applyFont="1">
      <alignment vertical="top" wrapText="1"/>
    </xf>
    <xf numFmtId="0" fontId="18" fillId="0" borderId="0" xfId="0" applyFont="1" applyAlignment="1">
      <alignment horizontal="center" vertical="center" wrapText="1"/>
    </xf>
    <xf numFmtId="0" fontId="10" fillId="0" borderId="0" xfId="0" applyFont="1" applyAlignment="1">
      <alignment vertical="center" wrapText="1"/>
    </xf>
    <xf numFmtId="0" fontId="33" fillId="0" borderId="1" xfId="0" applyFont="1" applyBorder="1">
      <alignment vertical="top" wrapText="1"/>
    </xf>
    <xf numFmtId="0" fontId="2" fillId="0" borderId="1" xfId="0" applyFont="1" applyBorder="1" applyAlignment="1">
      <alignment horizontal="right" vertical="center" wrapText="1"/>
    </xf>
    <xf numFmtId="0" fontId="48" fillId="0" borderId="0" xfId="0" applyFont="1" applyAlignment="1">
      <alignment horizontal="right" vertical="center" wrapText="1" indent="1"/>
    </xf>
    <xf numFmtId="0" fontId="48" fillId="0" borderId="0" xfId="0" applyFont="1">
      <alignment vertical="top" wrapText="1"/>
    </xf>
    <xf numFmtId="0" fontId="10" fillId="0" borderId="0" xfId="0" applyFont="1" applyAlignment="1">
      <alignment horizontal="center" vertical="top" wrapText="1"/>
    </xf>
    <xf numFmtId="0" fontId="13" fillId="0" borderId="1" xfId="0" applyFont="1" applyBorder="1" applyAlignment="1">
      <alignment horizontal="center" vertical="top" wrapText="1"/>
    </xf>
    <xf numFmtId="0" fontId="13" fillId="22" borderId="1" xfId="0" applyFont="1" applyFill="1" applyBorder="1" applyAlignment="1">
      <alignment horizontal="center" vertical="top" wrapText="1"/>
    </xf>
    <xf numFmtId="9" fontId="2" fillId="0" borderId="1" xfId="0" applyNumberFormat="1" applyFont="1" applyBorder="1" applyAlignment="1">
      <alignment vertical="center" wrapText="1"/>
    </xf>
    <xf numFmtId="0" fontId="27" fillId="0" borderId="1" xfId="0" applyFont="1" applyBorder="1" applyAlignment="1">
      <alignment horizontal="center" vertical="center" wrapText="1"/>
    </xf>
    <xf numFmtId="9" fontId="13" fillId="0" borderId="1" xfId="0" applyNumberFormat="1" applyFont="1" applyBorder="1" applyAlignment="1">
      <alignment vertical="center" wrapText="1"/>
    </xf>
    <xf numFmtId="0" fontId="13" fillId="21" borderId="1" xfId="0" applyFont="1" applyFill="1" applyBorder="1" applyAlignment="1">
      <alignment vertical="center" wrapText="1"/>
    </xf>
    <xf numFmtId="0" fontId="76" fillId="21" borderId="1" xfId="0" applyFont="1" applyFill="1" applyBorder="1" applyAlignment="1">
      <alignment vertical="center" wrapText="1"/>
    </xf>
    <xf numFmtId="0" fontId="13" fillId="19" borderId="1" xfId="0" applyFont="1" applyFill="1" applyBorder="1" applyAlignment="1">
      <alignment vertical="center" wrapText="1"/>
    </xf>
    <xf numFmtId="0" fontId="76" fillId="19" borderId="1" xfId="0" applyFont="1" applyFill="1" applyBorder="1" applyAlignment="1">
      <alignment vertical="center" wrapText="1"/>
    </xf>
    <xf numFmtId="0" fontId="76" fillId="10" borderId="1" xfId="0" applyFont="1" applyFill="1" applyBorder="1" applyAlignment="1">
      <alignment vertical="center" wrapText="1"/>
    </xf>
    <xf numFmtId="0" fontId="77" fillId="10" borderId="1" xfId="0" applyFont="1" applyFill="1" applyBorder="1" applyAlignment="1">
      <alignment vertical="center" wrapText="1"/>
    </xf>
    <xf numFmtId="0" fontId="27" fillId="21" borderId="1" xfId="0" applyFont="1" applyFill="1" applyBorder="1" applyAlignment="1">
      <alignment vertical="center" wrapText="1"/>
    </xf>
    <xf numFmtId="0" fontId="27" fillId="2" borderId="1" xfId="0" applyFont="1" applyFill="1" applyBorder="1" applyAlignment="1">
      <alignment horizontal="left" vertical="center" wrapText="1"/>
    </xf>
    <xf numFmtId="0" fontId="27" fillId="2" borderId="1" xfId="0" applyFont="1" applyFill="1" applyBorder="1" applyAlignment="1">
      <alignment horizontal="center" vertical="center" wrapText="1"/>
    </xf>
    <xf numFmtId="0" fontId="13" fillId="0" borderId="1" xfId="0" applyFont="1" applyBorder="1" applyAlignment="1">
      <alignment horizontal="right" vertical="center" wrapText="1"/>
    </xf>
    <xf numFmtId="9" fontId="13" fillId="0" borderId="1" xfId="0" applyNumberFormat="1" applyFont="1" applyBorder="1" applyAlignment="1">
      <alignment horizontal="right" vertical="center" wrapText="1"/>
    </xf>
    <xf numFmtId="0" fontId="11" fillId="19" borderId="1" xfId="0" applyFont="1" applyFill="1" applyBorder="1" applyAlignment="1">
      <alignment horizontal="center" vertical="center" wrapText="1"/>
    </xf>
    <xf numFmtId="0" fontId="24" fillId="19" borderId="1" xfId="0" applyFont="1" applyFill="1" applyBorder="1" applyAlignment="1">
      <alignment horizontal="center" vertical="center" wrapText="1"/>
    </xf>
    <xf numFmtId="0" fontId="34" fillId="0" borderId="0" xfId="0" applyFont="1" applyAlignment="1">
      <alignment vertical="center" wrapText="1"/>
    </xf>
    <xf numFmtId="0" fontId="79" fillId="0" borderId="0" xfId="0" applyFont="1" applyAlignment="1">
      <alignment vertical="center" wrapText="1"/>
    </xf>
    <xf numFmtId="10" fontId="2" fillId="0" borderId="1" xfId="0" applyNumberFormat="1" applyFont="1" applyBorder="1" applyAlignment="1">
      <alignment horizontal="right" vertical="center" wrapText="1"/>
    </xf>
    <xf numFmtId="9" fontId="2" fillId="0" borderId="1" xfId="0" applyNumberFormat="1" applyFont="1" applyBorder="1" applyAlignment="1">
      <alignment horizontal="right" vertical="center" wrapText="1"/>
    </xf>
    <xf numFmtId="0" fontId="77" fillId="21" borderId="1" xfId="0" applyFont="1" applyFill="1" applyBorder="1" applyAlignment="1">
      <alignment vertical="center" wrapText="1"/>
    </xf>
    <xf numFmtId="0" fontId="2" fillId="10" borderId="1" xfId="0" applyFont="1" applyFill="1" applyBorder="1" applyAlignment="1">
      <alignment vertical="center" wrapText="1"/>
    </xf>
    <xf numFmtId="0" fontId="0" fillId="0" borderId="1" xfId="0" applyBorder="1" applyAlignment="1">
      <alignment horizontal="left" vertical="top" wrapText="1"/>
    </xf>
    <xf numFmtId="0" fontId="12" fillId="19" borderId="1" xfId="0" applyFont="1" applyFill="1" applyBorder="1" applyAlignment="1">
      <alignment horizontal="center" vertical="center" wrapText="1"/>
    </xf>
    <xf numFmtId="0" fontId="0" fillId="0" borderId="1" xfId="0" applyBorder="1" applyAlignment="1">
      <alignment horizontal="right" vertical="center" wrapText="1"/>
    </xf>
    <xf numFmtId="0" fontId="2" fillId="0" borderId="1" xfId="0" applyFont="1" applyBorder="1" applyAlignment="1">
      <alignment horizontal="right" vertical="center" wrapText="1" indent="1"/>
    </xf>
    <xf numFmtId="0" fontId="0" fillId="0" borderId="1" xfId="0" applyBorder="1" applyAlignment="1">
      <alignment horizontal="right" vertical="top" wrapText="1"/>
    </xf>
    <xf numFmtId="0" fontId="0" fillId="0" borderId="1" xfId="0" applyBorder="1" applyAlignment="1">
      <alignment horizontal="right" vertical="center" wrapText="1" indent="1"/>
    </xf>
    <xf numFmtId="0" fontId="24" fillId="21" borderId="1" xfId="0" applyFont="1" applyFill="1" applyBorder="1" applyAlignment="1">
      <alignment horizontal="right" vertical="center" wrapText="1"/>
    </xf>
    <xf numFmtId="0" fontId="24" fillId="21" borderId="1" xfId="0" applyFont="1" applyFill="1" applyBorder="1" applyAlignment="1">
      <alignment horizontal="right" vertical="center" wrapText="1" indent="1"/>
    </xf>
    <xf numFmtId="0" fontId="24" fillId="21" borderId="1" xfId="0" applyFont="1" applyFill="1" applyBorder="1" applyAlignment="1">
      <alignment horizontal="right" vertical="top" wrapText="1"/>
    </xf>
    <xf numFmtId="0" fontId="11" fillId="10" borderId="1" xfId="0" applyFont="1" applyFill="1" applyBorder="1" applyAlignment="1">
      <alignment horizontal="right" vertical="center" wrapText="1"/>
    </xf>
    <xf numFmtId="0" fontId="11" fillId="10" borderId="1" xfId="0" applyFont="1" applyFill="1" applyBorder="1" applyAlignment="1">
      <alignment horizontal="right" vertical="center" wrapText="1" indent="1"/>
    </xf>
    <xf numFmtId="0" fontId="82" fillId="0" borderId="0" xfId="0" applyFont="1" applyAlignment="1">
      <alignment horizontal="left" vertical="top" wrapText="1"/>
    </xf>
    <xf numFmtId="0" fontId="82" fillId="0" borderId="37" xfId="0" applyFont="1" applyBorder="1" applyAlignment="1">
      <alignment horizontal="left" vertical="top" wrapText="1"/>
    </xf>
    <xf numFmtId="0" fontId="82" fillId="0" borderId="38" xfId="0" applyFont="1" applyBorder="1" applyAlignment="1">
      <alignment horizontal="left" vertical="top" wrapText="1"/>
    </xf>
    <xf numFmtId="0" fontId="83" fillId="0" borderId="39" xfId="0" applyFont="1" applyBorder="1" applyAlignment="1">
      <alignment horizontal="left" vertical="top" wrapText="1"/>
    </xf>
    <xf numFmtId="0" fontId="83" fillId="0" borderId="40" xfId="0" applyFont="1" applyBorder="1" applyAlignment="1">
      <alignment horizontal="left" vertical="top" wrapText="1"/>
    </xf>
    <xf numFmtId="0" fontId="25" fillId="19" borderId="1" xfId="0" applyFont="1" applyFill="1" applyBorder="1" applyAlignment="1">
      <alignment horizontal="center" vertical="center" wrapText="1"/>
    </xf>
    <xf numFmtId="0" fontId="84" fillId="19" borderId="7" xfId="0" applyFont="1" applyFill="1" applyBorder="1" applyAlignment="1">
      <alignment horizontal="center" vertical="center" wrapText="1"/>
    </xf>
    <xf numFmtId="0" fontId="84" fillId="19" borderId="28" xfId="0" applyFont="1" applyFill="1" applyBorder="1" applyAlignment="1">
      <alignment horizontal="center" vertical="center" wrapText="1"/>
    </xf>
    <xf numFmtId="16" fontId="2" fillId="0" borderId="1" xfId="0" applyNumberFormat="1" applyFont="1" applyBorder="1" applyAlignment="1">
      <alignment horizontal="right" vertical="center" wrapText="1"/>
    </xf>
    <xf numFmtId="0" fontId="12" fillId="19" borderId="7" xfId="0" applyFont="1" applyFill="1" applyBorder="1" applyAlignment="1">
      <alignment horizontal="center" vertical="center" wrapText="1"/>
    </xf>
    <xf numFmtId="0" fontId="2" fillId="0" borderId="7" xfId="0" applyFont="1" applyBorder="1" applyAlignment="1">
      <alignment horizontal="right" vertical="center" wrapText="1"/>
    </xf>
    <xf numFmtId="0" fontId="12" fillId="0" borderId="0" xfId="0" applyFont="1" applyAlignment="1">
      <alignment horizontal="center" vertical="center" wrapText="1"/>
    </xf>
    <xf numFmtId="0" fontId="73" fillId="0" borderId="0" xfId="0" applyFont="1" applyAlignment="1">
      <alignment vertical="center" wrapText="1"/>
    </xf>
    <xf numFmtId="0" fontId="70" fillId="0" borderId="0" xfId="0" applyFont="1" applyAlignment="1">
      <alignment vertical="center" wrapText="1"/>
    </xf>
    <xf numFmtId="0" fontId="25" fillId="19" borderId="43" xfId="0" applyFont="1" applyFill="1" applyBorder="1" applyAlignment="1">
      <alignment horizontal="center" vertical="center" wrapText="1"/>
    </xf>
    <xf numFmtId="0" fontId="1" fillId="27" borderId="1" xfId="0" applyFont="1" applyFill="1" applyBorder="1" applyAlignment="1">
      <alignment vertical="center" wrapText="1"/>
    </xf>
    <xf numFmtId="10" fontId="1" fillId="27" borderId="1" xfId="0" applyNumberFormat="1" applyFont="1" applyFill="1" applyBorder="1" applyAlignment="1">
      <alignment horizontal="right" vertical="center" wrapText="1"/>
    </xf>
    <xf numFmtId="0" fontId="1" fillId="27" borderId="1" xfId="0" applyFont="1" applyFill="1" applyBorder="1" applyAlignment="1">
      <alignment horizontal="right" vertical="center" wrapText="1"/>
    </xf>
    <xf numFmtId="0" fontId="93" fillId="27" borderId="1" xfId="0" applyFont="1" applyFill="1" applyBorder="1" applyAlignment="1">
      <alignment vertical="center" wrapText="1"/>
    </xf>
    <xf numFmtId="0" fontId="92" fillId="27" borderId="1" xfId="0" applyFont="1" applyFill="1" applyBorder="1" applyAlignment="1">
      <alignment vertical="center" wrapText="1"/>
    </xf>
    <xf numFmtId="0" fontId="1" fillId="0" borderId="1" xfId="0" applyFont="1" applyBorder="1" applyAlignment="1">
      <alignment vertical="center" wrapText="1"/>
    </xf>
    <xf numFmtId="0" fontId="1" fillId="0" borderId="1" xfId="0" applyFont="1" applyBorder="1" applyAlignment="1">
      <alignment horizontal="right" vertical="center" wrapText="1"/>
    </xf>
    <xf numFmtId="0" fontId="93" fillId="0" borderId="1" xfId="0" applyFont="1" applyBorder="1" applyAlignment="1">
      <alignment vertical="center" wrapText="1"/>
    </xf>
    <xf numFmtId="0" fontId="92" fillId="0" borderId="1" xfId="0" applyFont="1" applyBorder="1" applyAlignment="1">
      <alignment vertical="center" wrapText="1"/>
    </xf>
    <xf numFmtId="0" fontId="91" fillId="0" borderId="1" xfId="0" applyFont="1" applyBorder="1" applyAlignment="1">
      <alignment vertical="center" wrapText="1"/>
    </xf>
    <xf numFmtId="0" fontId="91" fillId="27" borderId="1" xfId="0" applyFont="1" applyFill="1" applyBorder="1" applyAlignment="1">
      <alignment vertical="center" wrapText="1"/>
    </xf>
    <xf numFmtId="9" fontId="1" fillId="0" borderId="1" xfId="0" applyNumberFormat="1" applyFont="1" applyBorder="1" applyAlignment="1">
      <alignment horizontal="right" vertical="center" wrapText="1"/>
    </xf>
    <xf numFmtId="9" fontId="1" fillId="27" borderId="1" xfId="0" applyNumberFormat="1" applyFont="1" applyFill="1" applyBorder="1" applyAlignment="1">
      <alignment horizontal="right" vertical="center" wrapText="1"/>
    </xf>
    <xf numFmtId="0" fontId="1" fillId="0" borderId="44" xfId="0" applyFont="1" applyBorder="1" applyAlignment="1">
      <alignment vertical="center" wrapText="1"/>
    </xf>
    <xf numFmtId="0" fontId="1" fillId="0" borderId="44" xfId="0" applyFont="1" applyBorder="1" applyAlignment="1">
      <alignment horizontal="right" vertical="center" wrapText="1"/>
    </xf>
    <xf numFmtId="0" fontId="93" fillId="0" borderId="44" xfId="0" applyFont="1" applyBorder="1" applyAlignment="1">
      <alignment vertical="center" wrapText="1"/>
    </xf>
    <xf numFmtId="0" fontId="92" fillId="0" borderId="44" xfId="0" applyFont="1" applyBorder="1" applyAlignment="1">
      <alignment vertical="center" wrapText="1"/>
    </xf>
    <xf numFmtId="0" fontId="19" fillId="0" borderId="0" xfId="0" applyFont="1" applyAlignment="1">
      <alignment horizontal="center" vertical="center" wrapText="1"/>
    </xf>
    <xf numFmtId="0" fontId="2" fillId="0" borderId="0" xfId="0" applyFont="1" applyAlignment="1">
      <alignment vertical="top"/>
    </xf>
    <xf numFmtId="0" fontId="0" fillId="0" borderId="0" xfId="0" applyAlignment="1">
      <alignment vertical="top"/>
    </xf>
    <xf numFmtId="0" fontId="11" fillId="0" borderId="0" xfId="0" applyFont="1" applyAlignment="1">
      <alignment horizontal="center" vertical="center"/>
    </xf>
    <xf numFmtId="0" fontId="11" fillId="0" borderId="0" xfId="0" applyFont="1" applyAlignment="1">
      <alignment vertical="top"/>
    </xf>
    <xf numFmtId="49" fontId="0" fillId="0" borderId="0" xfId="0" applyNumberFormat="1" applyAlignment="1">
      <alignment horizontal="right" vertical="center"/>
    </xf>
    <xf numFmtId="0" fontId="28" fillId="0" borderId="1" xfId="0" applyFont="1" applyBorder="1" applyAlignment="1">
      <alignment horizontal="center" vertical="center"/>
    </xf>
    <xf numFmtId="10" fontId="0" fillId="0" borderId="0" xfId="0" applyNumberFormat="1" applyAlignment="1">
      <alignment vertical="top"/>
    </xf>
    <xf numFmtId="0" fontId="87" fillId="0" borderId="1" xfId="0" applyFont="1" applyBorder="1" applyAlignment="1">
      <alignment horizontal="center" vertical="center"/>
    </xf>
    <xf numFmtId="0" fontId="25" fillId="32" borderId="13" xfId="0" applyFont="1" applyFill="1" applyBorder="1" applyAlignment="1">
      <alignment horizontal="left" vertical="center"/>
    </xf>
    <xf numFmtId="0" fontId="25" fillId="32" borderId="30" xfId="0" applyFont="1" applyFill="1" applyBorder="1" applyAlignment="1">
      <alignment horizontal="left" vertical="center"/>
    </xf>
    <xf numFmtId="0" fontId="107" fillId="32" borderId="13" xfId="0" applyFont="1" applyFill="1" applyBorder="1" applyAlignment="1">
      <alignment horizontal="left" vertical="center"/>
    </xf>
    <xf numFmtId="0" fontId="107" fillId="10" borderId="13" xfId="0" applyFont="1" applyFill="1" applyBorder="1" applyAlignment="1">
      <alignment horizontal="left" vertical="center"/>
    </xf>
    <xf numFmtId="0" fontId="27" fillId="0" borderId="0" xfId="0" applyFont="1" applyAlignment="1">
      <alignment horizontal="center" vertical="center"/>
    </xf>
    <xf numFmtId="0" fontId="25" fillId="10" borderId="13" xfId="0" applyFont="1" applyFill="1" applyBorder="1" applyAlignment="1">
      <alignment horizontal="left" vertical="center"/>
    </xf>
    <xf numFmtId="0" fontId="13" fillId="0" borderId="0" xfId="0" applyFont="1" applyAlignment="1">
      <alignment vertical="top"/>
    </xf>
    <xf numFmtId="49" fontId="25" fillId="32" borderId="13" xfId="0" applyNumberFormat="1" applyFont="1" applyFill="1" applyBorder="1" applyAlignment="1">
      <alignment horizontal="left" vertical="center"/>
    </xf>
    <xf numFmtId="49" fontId="0" fillId="0" borderId="0" xfId="0" applyNumberFormat="1" applyAlignment="1">
      <alignment vertical="top"/>
    </xf>
    <xf numFmtId="0" fontId="27" fillId="0" borderId="0" xfId="0" applyFont="1" applyAlignment="1">
      <alignment horizontal="center" vertical="top"/>
    </xf>
    <xf numFmtId="0" fontId="80" fillId="0" borderId="0" xfId="0" applyFont="1" applyAlignment="1">
      <alignment vertical="center"/>
    </xf>
    <xf numFmtId="0" fontId="34" fillId="0" borderId="0" xfId="0" applyFont="1" applyAlignment="1">
      <alignment horizontal="center" vertical="center"/>
    </xf>
    <xf numFmtId="0" fontId="11" fillId="0" borderId="0" xfId="0" applyFont="1" applyAlignment="1">
      <alignment horizontal="center" vertical="top"/>
    </xf>
    <xf numFmtId="0" fontId="2" fillId="0" borderId="0" xfId="0" applyFont="1" applyAlignment="1">
      <alignment horizontal="center" vertical="top"/>
    </xf>
    <xf numFmtId="0" fontId="18" fillId="0" borderId="41" xfId="0" applyFont="1" applyBorder="1" applyAlignment="1">
      <alignment horizontal="center" vertical="center"/>
    </xf>
    <xf numFmtId="0" fontId="18" fillId="29" borderId="1" xfId="0" applyFont="1" applyFill="1" applyBorder="1" applyAlignment="1">
      <alignment horizontal="center" vertical="center"/>
    </xf>
    <xf numFmtId="0" fontId="29" fillId="29" borderId="1" xfId="0" applyFont="1" applyFill="1" applyBorder="1" applyAlignment="1">
      <alignment vertical="center"/>
    </xf>
    <xf numFmtId="0" fontId="108" fillId="29" borderId="1" xfId="0" applyFont="1" applyFill="1" applyBorder="1" applyAlignment="1">
      <alignment vertical="center"/>
    </xf>
    <xf numFmtId="0" fontId="18" fillId="0" borderId="0" xfId="0" applyFont="1" applyAlignment="1">
      <alignment horizontal="center" vertical="center"/>
    </xf>
    <xf numFmtId="0" fontId="110" fillId="12" borderId="1" xfId="0" applyFont="1" applyFill="1" applyBorder="1" applyAlignment="1">
      <alignment horizontal="center" vertical="center"/>
    </xf>
    <xf numFmtId="0" fontId="95" fillId="3" borderId="1" xfId="0" applyFont="1" applyFill="1" applyBorder="1" applyAlignment="1">
      <alignment horizontal="center" vertical="center"/>
    </xf>
    <xf numFmtId="0" fontId="107" fillId="10" borderId="65" xfId="0" applyFont="1" applyFill="1" applyBorder="1" applyAlignment="1">
      <alignment horizontal="left" vertical="center"/>
    </xf>
    <xf numFmtId="9" fontId="0" fillId="0" borderId="1" xfId="0" applyNumberFormat="1" applyBorder="1" applyAlignment="1">
      <alignment vertical="center" wrapText="1"/>
    </xf>
    <xf numFmtId="10" fontId="0" fillId="0" borderId="1" xfId="0" applyNumberFormat="1" applyBorder="1" applyAlignment="1">
      <alignment vertical="center" wrapText="1"/>
    </xf>
    <xf numFmtId="0" fontId="12" fillId="19" borderId="0" xfId="4" applyFont="1" applyFill="1" applyAlignment="1">
      <alignment vertical="center" wrapText="1"/>
    </xf>
    <xf numFmtId="0" fontId="2" fillId="0" borderId="0" xfId="4" applyAlignment="1">
      <alignment vertical="center" wrapText="1"/>
    </xf>
    <xf numFmtId="165" fontId="2" fillId="0" borderId="0" xfId="4" applyNumberFormat="1" applyAlignment="1">
      <alignment vertical="center" wrapText="1"/>
    </xf>
    <xf numFmtId="0" fontId="12" fillId="19" borderId="0" xfId="4" applyFont="1" applyFill="1" applyAlignment="1">
      <alignment horizontal="left" vertical="center" wrapText="1"/>
    </xf>
    <xf numFmtId="0" fontId="7" fillId="0" borderId="0" xfId="4" applyFont="1" applyAlignment="1">
      <alignment vertical="center" wrapText="1"/>
    </xf>
    <xf numFmtId="165" fontId="7" fillId="0" borderId="0" xfId="4" applyNumberFormat="1" applyFont="1" applyAlignment="1">
      <alignment vertical="center" wrapText="1"/>
    </xf>
    <xf numFmtId="0" fontId="14" fillId="7" borderId="0" xfId="2" applyFont="1" applyFill="1" applyAlignment="1">
      <alignment vertical="center" wrapText="1"/>
    </xf>
    <xf numFmtId="0" fontId="20" fillId="3" borderId="1" xfId="4" applyFont="1" applyFill="1" applyBorder="1" applyAlignment="1">
      <alignment vertical="center" wrapText="1"/>
    </xf>
    <xf numFmtId="0" fontId="2" fillId="0" borderId="1" xfId="4" applyBorder="1">
      <alignment vertical="top" wrapText="1"/>
    </xf>
    <xf numFmtId="0" fontId="3" fillId="0" borderId="0" xfId="4" applyFont="1">
      <alignment vertical="top" wrapText="1"/>
    </xf>
    <xf numFmtId="0" fontId="13" fillId="0" borderId="0" xfId="4" applyFont="1" applyAlignment="1">
      <alignment vertical="center" wrapText="1"/>
    </xf>
    <xf numFmtId="0" fontId="13" fillId="3" borderId="1" xfId="4" applyFont="1" applyFill="1" applyBorder="1" applyAlignment="1">
      <alignment horizontal="left" vertical="top" wrapText="1"/>
    </xf>
    <xf numFmtId="0" fontId="13" fillId="3" borderId="4" xfId="4" applyFont="1" applyFill="1" applyBorder="1" applyAlignment="1">
      <alignment horizontal="left" vertical="top" wrapText="1"/>
    </xf>
    <xf numFmtId="0" fontId="13" fillId="0" borderId="0" xfId="4" applyFont="1" applyAlignment="1">
      <alignment horizontal="center" vertical="center" wrapText="1"/>
    </xf>
    <xf numFmtId="0" fontId="13" fillId="0" borderId="0" xfId="4" applyFont="1" applyAlignment="1">
      <alignment horizontal="left" vertical="top" wrapText="1"/>
    </xf>
    <xf numFmtId="0" fontId="2" fillId="0" borderId="0" xfId="4" applyAlignment="1">
      <alignment horizontal="center" vertical="center" wrapText="1"/>
    </xf>
    <xf numFmtId="0" fontId="7" fillId="0" borderId="0" xfId="4" applyFont="1" applyAlignment="1">
      <alignment horizontal="center" vertical="center" wrapText="1"/>
    </xf>
    <xf numFmtId="0" fontId="7" fillId="0" borderId="0" xfId="4" applyFont="1" applyAlignment="1">
      <alignment horizontal="left" vertical="top" wrapText="1"/>
    </xf>
    <xf numFmtId="0" fontId="6" fillId="4" borderId="1" xfId="4" applyFont="1" applyFill="1" applyBorder="1" applyAlignment="1">
      <alignment horizontal="center" vertical="center" wrapText="1"/>
    </xf>
    <xf numFmtId="0" fontId="27" fillId="20" borderId="23" xfId="4" applyFont="1" applyFill="1" applyBorder="1" applyAlignment="1">
      <alignment horizontal="center" vertical="center" wrapText="1"/>
    </xf>
    <xf numFmtId="0" fontId="12" fillId="9" borderId="23" xfId="1" applyFont="1" applyFill="1" applyBorder="1" applyAlignment="1">
      <alignment horizontal="center" vertical="center" wrapText="1"/>
    </xf>
    <xf numFmtId="0" fontId="12" fillId="9" borderId="0" xfId="1" applyFont="1" applyFill="1" applyAlignment="1">
      <alignment horizontal="center" vertical="center" wrapText="1"/>
    </xf>
    <xf numFmtId="0" fontId="6" fillId="4" borderId="4" xfId="4" applyFont="1" applyFill="1" applyBorder="1" applyAlignment="1">
      <alignment horizontal="center" vertical="center" wrapText="1"/>
    </xf>
    <xf numFmtId="0" fontId="13" fillId="6" borderId="0" xfId="4" applyFont="1" applyFill="1" applyAlignment="1">
      <alignment vertical="center" wrapText="1"/>
    </xf>
    <xf numFmtId="0" fontId="13" fillId="3" borderId="1" xfId="4" applyFont="1" applyFill="1" applyBorder="1" applyAlignment="1">
      <alignment horizontal="center" vertical="center" wrapText="1"/>
    </xf>
    <xf numFmtId="0" fontId="13" fillId="3" borderId="1" xfId="4" applyFont="1" applyFill="1" applyBorder="1" applyAlignment="1">
      <alignment vertical="center" wrapText="1"/>
    </xf>
    <xf numFmtId="49" fontId="11" fillId="0" borderId="0" xfId="4" applyNumberFormat="1" applyFont="1" applyAlignment="1">
      <alignment horizontal="center" vertical="top" wrapText="1"/>
    </xf>
    <xf numFmtId="0" fontId="11" fillId="0" borderId="0" xfId="4" applyFont="1">
      <alignment vertical="top" wrapText="1"/>
    </xf>
    <xf numFmtId="0" fontId="8" fillId="0" borderId="0" xfId="4" applyFont="1" applyAlignment="1">
      <alignment horizontal="center" vertical="top" wrapText="1"/>
    </xf>
    <xf numFmtId="0" fontId="2" fillId="0" borderId="0" xfId="4">
      <alignment vertical="top" wrapText="1"/>
    </xf>
    <xf numFmtId="49" fontId="2" fillId="0" borderId="0" xfId="4" applyNumberFormat="1" applyAlignment="1">
      <alignment horizontal="center" vertical="top" wrapText="1"/>
    </xf>
    <xf numFmtId="0" fontId="8" fillId="12" borderId="0" xfId="4" applyFont="1" applyFill="1" applyAlignment="1">
      <alignment horizontal="center" wrapText="1"/>
    </xf>
    <xf numFmtId="0" fontId="2" fillId="0" borderId="31" xfId="4" applyBorder="1" applyAlignment="1"/>
    <xf numFmtId="0" fontId="8" fillId="0" borderId="10" xfId="4" applyFont="1" applyBorder="1" applyAlignment="1">
      <alignment horizontal="center" vertical="center" wrapText="1"/>
    </xf>
    <xf numFmtId="0" fontId="8" fillId="14" borderId="10" xfId="4" applyFont="1" applyFill="1" applyBorder="1" applyAlignment="1">
      <alignment horizontal="center" vertical="center" wrapText="1"/>
    </xf>
    <xf numFmtId="0" fontId="8" fillId="15" borderId="10" xfId="4" applyFont="1" applyFill="1" applyBorder="1" applyAlignment="1">
      <alignment horizontal="center" vertical="center" wrapText="1"/>
    </xf>
    <xf numFmtId="0" fontId="8" fillId="11" borderId="0" xfId="4" applyFont="1" applyFill="1" applyAlignment="1">
      <alignment horizontal="left" vertical="center" wrapText="1"/>
    </xf>
    <xf numFmtId="0" fontId="3" fillId="0" borderId="1" xfId="4" applyFont="1" applyBorder="1" applyAlignment="1">
      <alignment horizontal="center" vertical="top" wrapText="1"/>
    </xf>
    <xf numFmtId="0" fontId="3" fillId="0" borderId="7" xfId="4" applyFont="1" applyBorder="1">
      <alignment vertical="top" wrapText="1"/>
    </xf>
    <xf numFmtId="0" fontId="3" fillId="0" borderId="7" xfId="4" applyFont="1" applyBorder="1" applyAlignment="1">
      <alignment horizontal="left" vertical="top" wrapText="1"/>
    </xf>
    <xf numFmtId="0" fontId="2" fillId="0" borderId="35" xfId="4" applyBorder="1" applyAlignment="1">
      <alignment horizontal="left" vertical="top" wrapText="1"/>
    </xf>
    <xf numFmtId="0" fontId="2" fillId="0" borderId="0" xfId="4" applyAlignment="1">
      <alignment horizontal="left" vertical="top" wrapText="1"/>
    </xf>
    <xf numFmtId="0" fontId="2" fillId="0" borderId="34" xfId="4" applyBorder="1" applyAlignment="1"/>
    <xf numFmtId="0" fontId="8" fillId="16" borderId="10" xfId="4" applyFont="1" applyFill="1" applyBorder="1" applyAlignment="1">
      <alignment horizontal="center" vertical="center" wrapText="1"/>
    </xf>
    <xf numFmtId="0" fontId="8" fillId="10" borderId="0" xfId="4" applyFont="1" applyFill="1" applyAlignment="1">
      <alignment horizontal="left" vertical="center" wrapText="1"/>
    </xf>
    <xf numFmtId="0" fontId="3" fillId="0" borderId="1" xfId="4" applyFont="1" applyBorder="1">
      <alignment vertical="top" wrapText="1"/>
    </xf>
    <xf numFmtId="0" fontId="8" fillId="17" borderId="10" xfId="4" applyFont="1" applyFill="1" applyBorder="1" applyAlignment="1">
      <alignment horizontal="center" vertical="center" wrapText="1"/>
    </xf>
    <xf numFmtId="0" fontId="8" fillId="5" borderId="0" xfId="4" applyFont="1" applyFill="1" applyAlignment="1">
      <alignment horizontal="left" vertical="center" wrapText="1"/>
    </xf>
    <xf numFmtId="0" fontId="8" fillId="2" borderId="0" xfId="4" applyFont="1" applyFill="1" applyAlignment="1">
      <alignment horizontal="center" wrapText="1"/>
    </xf>
    <xf numFmtId="0" fontId="8" fillId="18" borderId="10" xfId="4" applyFont="1" applyFill="1" applyBorder="1" applyAlignment="1">
      <alignment horizontal="center" vertical="center" wrapText="1"/>
    </xf>
    <xf numFmtId="0" fontId="8" fillId="2" borderId="0" xfId="4" applyFont="1" applyFill="1" applyAlignment="1">
      <alignment horizontal="left" vertical="center" wrapText="1"/>
    </xf>
    <xf numFmtId="0" fontId="8" fillId="0" borderId="24" xfId="4" applyFont="1" applyBorder="1" applyAlignment="1">
      <alignment horizontal="center" vertical="center" wrapText="1"/>
    </xf>
    <xf numFmtId="0" fontId="8" fillId="18" borderId="24" xfId="4" applyFont="1" applyFill="1" applyBorder="1" applyAlignment="1">
      <alignment horizontal="center" vertical="center" wrapText="1"/>
    </xf>
    <xf numFmtId="0" fontId="8" fillId="17" borderId="24" xfId="4" applyFont="1" applyFill="1" applyBorder="1" applyAlignment="1">
      <alignment horizontal="center" vertical="center" wrapText="1"/>
    </xf>
    <xf numFmtId="0" fontId="8" fillId="16" borderId="24" xfId="4" applyFont="1" applyFill="1" applyBorder="1" applyAlignment="1">
      <alignment horizontal="center" vertical="center" wrapText="1"/>
    </xf>
    <xf numFmtId="0" fontId="8" fillId="12" borderId="0" xfId="4" applyFont="1" applyFill="1" applyAlignment="1">
      <alignment horizontal="left" vertical="center" wrapText="1"/>
    </xf>
    <xf numFmtId="0" fontId="3" fillId="0" borderId="24" xfId="4" applyFont="1" applyBorder="1" applyAlignment="1">
      <alignment horizontal="center" vertical="center" wrapText="1"/>
    </xf>
    <xf numFmtId="0" fontId="8" fillId="0" borderId="13" xfId="4" applyFont="1" applyBorder="1" applyAlignment="1">
      <alignment horizontal="center" vertical="center" wrapText="1"/>
    </xf>
    <xf numFmtId="0" fontId="8" fillId="5" borderId="0" xfId="4" applyFont="1" applyFill="1" applyAlignment="1">
      <alignment horizontal="center" wrapText="1"/>
    </xf>
    <xf numFmtId="0" fontId="2" fillId="0" borderId="29" xfId="4" applyBorder="1" applyAlignment="1"/>
    <xf numFmtId="0" fontId="2" fillId="0" borderId="30" xfId="4" applyBorder="1" applyAlignment="1"/>
    <xf numFmtId="0" fontId="2" fillId="0" borderId="30" xfId="4" applyBorder="1" applyAlignment="1">
      <alignment vertical="top"/>
    </xf>
    <xf numFmtId="0" fontId="2" fillId="0" borderId="13" xfId="4" applyBorder="1">
      <alignment vertical="top" wrapText="1"/>
    </xf>
    <xf numFmtId="0" fontId="3" fillId="0" borderId="0" xfId="4" applyFont="1" applyAlignment="1">
      <alignment horizontal="center" vertical="top" wrapText="1"/>
    </xf>
    <xf numFmtId="0" fontId="8" fillId="10" borderId="0" xfId="4" applyFont="1" applyFill="1" applyAlignment="1">
      <alignment horizontal="center" wrapText="1"/>
    </xf>
    <xf numFmtId="0" fontId="3" fillId="0" borderId="0" xfId="4" applyFont="1" applyAlignment="1"/>
    <xf numFmtId="0" fontId="8" fillId="20" borderId="1" xfId="4" applyFont="1" applyFill="1" applyBorder="1">
      <alignment vertical="top" wrapText="1"/>
    </xf>
    <xf numFmtId="0" fontId="3" fillId="0" borderId="0" xfId="4" applyFont="1" applyAlignment="1">
      <alignment vertical="top"/>
    </xf>
    <xf numFmtId="0" fontId="8" fillId="11" borderId="0" xfId="4" applyFont="1" applyFill="1" applyAlignment="1">
      <alignment horizontal="center" wrapText="1"/>
    </xf>
    <xf numFmtId="49" fontId="2" fillId="3" borderId="0" xfId="4" applyNumberFormat="1" applyFill="1" applyAlignment="1">
      <alignment horizontal="center" vertical="top" wrapText="1"/>
    </xf>
    <xf numFmtId="0" fontId="8" fillId="3" borderId="0" xfId="4" applyFont="1" applyFill="1" applyAlignment="1">
      <alignment horizontal="center" wrapText="1"/>
    </xf>
    <xf numFmtId="0" fontId="2" fillId="3" borderId="0" xfId="4" applyFill="1">
      <alignment vertical="top" wrapText="1"/>
    </xf>
    <xf numFmtId="0" fontId="9" fillId="3" borderId="0" xfId="4" applyFont="1" applyFill="1" applyAlignment="1">
      <alignment horizontal="center" wrapText="1"/>
    </xf>
    <xf numFmtId="0" fontId="2" fillId="3" borderId="0" xfId="4" applyFill="1" applyAlignment="1">
      <alignment horizontal="center" vertical="top" wrapText="1"/>
    </xf>
    <xf numFmtId="0" fontId="2" fillId="0" borderId="0" xfId="4" applyAlignment="1">
      <alignment horizontal="center" vertical="top" wrapText="1"/>
    </xf>
    <xf numFmtId="0" fontId="2" fillId="0" borderId="7" xfId="4" applyBorder="1">
      <alignment vertical="top" wrapText="1"/>
    </xf>
    <xf numFmtId="0" fontId="2" fillId="0" borderId="4" xfId="4" applyBorder="1">
      <alignment vertical="top" wrapText="1"/>
    </xf>
    <xf numFmtId="0" fontId="2" fillId="0" borderId="9" xfId="4" applyBorder="1">
      <alignment vertical="top" wrapText="1"/>
    </xf>
    <xf numFmtId="49" fontId="2" fillId="0" borderId="0" xfId="4" applyNumberFormat="1">
      <alignment vertical="top" wrapText="1"/>
    </xf>
    <xf numFmtId="0" fontId="22" fillId="19" borderId="36" xfId="4" applyFont="1" applyFill="1" applyBorder="1">
      <alignment vertical="top" wrapText="1"/>
    </xf>
    <xf numFmtId="0" fontId="24" fillId="19" borderId="21" xfId="4" applyFont="1" applyFill="1" applyBorder="1">
      <alignment vertical="top" wrapText="1"/>
    </xf>
    <xf numFmtId="0" fontId="11" fillId="0" borderId="0" xfId="4" applyFont="1" applyAlignment="1"/>
    <xf numFmtId="0" fontId="11" fillId="0" borderId="1" xfId="4" applyFont="1" applyBorder="1">
      <alignment vertical="top" wrapText="1"/>
    </xf>
    <xf numFmtId="0" fontId="2" fillId="11" borderId="0" xfId="4" applyFill="1">
      <alignment vertical="top" wrapText="1"/>
    </xf>
    <xf numFmtId="0" fontId="3" fillId="6" borderId="1" xfId="4" applyFont="1" applyFill="1" applyBorder="1">
      <alignment vertical="top" wrapText="1"/>
    </xf>
    <xf numFmtId="0" fontId="3" fillId="0" borderId="3" xfId="4" applyFont="1" applyBorder="1">
      <alignment vertical="top" wrapText="1"/>
    </xf>
    <xf numFmtId="0" fontId="3" fillId="0" borderId="35" xfId="4" applyFont="1" applyBorder="1">
      <alignment vertical="top" wrapText="1"/>
    </xf>
    <xf numFmtId="0" fontId="2" fillId="10" borderId="0" xfId="4" applyFill="1">
      <alignment vertical="top" wrapText="1"/>
    </xf>
    <xf numFmtId="0" fontId="2" fillId="12" borderId="0" xfId="4" applyFill="1">
      <alignment vertical="top" wrapText="1"/>
    </xf>
    <xf numFmtId="0" fontId="8" fillId="11" borderId="0" xfId="4" applyFont="1" applyFill="1" applyAlignment="1">
      <alignment vertical="center" wrapText="1"/>
    </xf>
    <xf numFmtId="0" fontId="8" fillId="10" borderId="0" xfId="4" applyFont="1" applyFill="1" applyAlignment="1">
      <alignment vertical="center" wrapText="1"/>
    </xf>
    <xf numFmtId="0" fontId="8" fillId="12" borderId="0" xfId="4" applyFont="1" applyFill="1" applyAlignment="1">
      <alignment vertical="center" wrapText="1"/>
    </xf>
    <xf numFmtId="0" fontId="26" fillId="3" borderId="1" xfId="4" applyFont="1" applyFill="1" applyBorder="1" applyAlignment="1">
      <alignment vertical="center" wrapText="1"/>
    </xf>
    <xf numFmtId="0" fontId="3" fillId="11" borderId="1" xfId="4" applyFont="1" applyFill="1" applyBorder="1">
      <alignment vertical="top" wrapText="1"/>
    </xf>
    <xf numFmtId="0" fontId="3" fillId="10" borderId="1" xfId="4" applyFont="1" applyFill="1" applyBorder="1" applyAlignment="1">
      <alignment vertical="center" wrapText="1"/>
    </xf>
    <xf numFmtId="0" fontId="3" fillId="12" borderId="1" xfId="4" applyFont="1" applyFill="1" applyBorder="1" applyAlignment="1">
      <alignment vertical="center" wrapText="1"/>
    </xf>
    <xf numFmtId="0" fontId="2" fillId="0" borderId="0" xfId="4" applyAlignment="1">
      <alignment vertical="top"/>
    </xf>
    <xf numFmtId="0" fontId="2" fillId="0" borderId="57" xfId="4" applyBorder="1">
      <alignment vertical="top" wrapText="1"/>
    </xf>
    <xf numFmtId="0" fontId="70" fillId="0" borderId="57" xfId="4" applyFont="1" applyBorder="1" applyAlignment="1">
      <alignment horizontal="center" vertical="top" wrapText="1"/>
    </xf>
    <xf numFmtId="0" fontId="70" fillId="0" borderId="57" xfId="4" applyFont="1" applyBorder="1" applyAlignment="1">
      <alignment horizontal="center" vertical="top"/>
    </xf>
    <xf numFmtId="0" fontId="2" fillId="0" borderId="58" xfId="4" applyBorder="1">
      <alignment vertical="top" wrapText="1"/>
    </xf>
    <xf numFmtId="0" fontId="2" fillId="0" borderId="32" xfId="4" applyBorder="1">
      <alignment vertical="top" wrapText="1"/>
    </xf>
    <xf numFmtId="0" fontId="2" fillId="0" borderId="33" xfId="4" applyBorder="1">
      <alignment vertical="top" wrapText="1"/>
    </xf>
    <xf numFmtId="0" fontId="2" fillId="0" borderId="59" xfId="4" applyBorder="1">
      <alignment vertical="top" wrapText="1"/>
    </xf>
    <xf numFmtId="0" fontId="2" fillId="0" borderId="48" xfId="4" applyBorder="1">
      <alignment vertical="top" wrapText="1"/>
    </xf>
    <xf numFmtId="0" fontId="2" fillId="0" borderId="30" xfId="4" applyBorder="1">
      <alignment vertical="top" wrapText="1"/>
    </xf>
    <xf numFmtId="0" fontId="2" fillId="0" borderId="60" xfId="4" applyBorder="1">
      <alignment vertical="top" wrapText="1"/>
    </xf>
    <xf numFmtId="0" fontId="30" fillId="0" borderId="60" xfId="4" applyFont="1" applyBorder="1" applyAlignment="1">
      <alignment horizontal="center" vertical="center" wrapText="1"/>
    </xf>
    <xf numFmtId="0" fontId="18" fillId="0" borderId="60" xfId="4" applyFont="1" applyBorder="1" applyAlignment="1">
      <alignment horizontal="center" vertical="center" wrapText="1"/>
    </xf>
    <xf numFmtId="0" fontId="18" fillId="0" borderId="60" xfId="4" applyFont="1" applyBorder="1" applyAlignment="1">
      <alignment horizontal="center" vertical="center"/>
    </xf>
    <xf numFmtId="0" fontId="2" fillId="0" borderId="61" xfId="4" applyBorder="1">
      <alignment vertical="top" wrapText="1"/>
    </xf>
    <xf numFmtId="0" fontId="99" fillId="19" borderId="0" xfId="4" applyFont="1" applyFill="1" applyAlignment="1">
      <alignment horizontal="center" vertical="center" wrapText="1"/>
    </xf>
    <xf numFmtId="0" fontId="30" fillId="0" borderId="0" xfId="4" applyFont="1" applyAlignment="1">
      <alignment horizontal="center" vertical="center" wrapText="1"/>
    </xf>
    <xf numFmtId="0" fontId="18" fillId="0" borderId="0" xfId="4" applyFont="1" applyAlignment="1">
      <alignment horizontal="center" vertical="center" wrapText="1"/>
    </xf>
    <xf numFmtId="0" fontId="30" fillId="0" borderId="57" xfId="4" applyFont="1" applyBorder="1">
      <alignment vertical="top" wrapText="1"/>
    </xf>
    <xf numFmtId="0" fontId="2" fillId="0" borderId="57" xfId="4" applyBorder="1" applyAlignment="1">
      <alignment vertical="top"/>
    </xf>
    <xf numFmtId="0" fontId="96" fillId="0" borderId="0" xfId="4" applyFont="1" applyAlignment="1">
      <alignment horizontal="left" vertical="top" wrapText="1" readingOrder="1"/>
    </xf>
    <xf numFmtId="0" fontId="94" fillId="0" borderId="0" xfId="4" applyFont="1" applyAlignment="1">
      <alignment horizontal="left" vertical="top" wrapText="1" readingOrder="1"/>
    </xf>
    <xf numFmtId="9" fontId="96" fillId="0" borderId="0" xfId="4" applyNumberFormat="1" applyFont="1" applyAlignment="1">
      <alignment horizontal="left" vertical="top" wrapText="1" readingOrder="1"/>
    </xf>
    <xf numFmtId="0" fontId="19" fillId="0" borderId="60" xfId="4" applyFont="1" applyBorder="1" applyAlignment="1">
      <alignment vertical="center" wrapText="1"/>
    </xf>
    <xf numFmtId="0" fontId="28" fillId="0" borderId="60" xfId="4" applyFont="1" applyBorder="1" applyAlignment="1">
      <alignment horizontal="center" vertical="center" wrapText="1"/>
    </xf>
    <xf numFmtId="0" fontId="70" fillId="0" borderId="60" xfId="4" applyFont="1" applyBorder="1" applyAlignment="1">
      <alignment horizontal="center" vertical="center" wrapText="1"/>
    </xf>
    <xf numFmtId="0" fontId="2" fillId="0" borderId="60" xfId="4" applyBorder="1" applyAlignment="1">
      <alignment vertical="top"/>
    </xf>
    <xf numFmtId="0" fontId="19" fillId="0" borderId="60" xfId="4" applyFont="1" applyBorder="1" applyAlignment="1">
      <alignment horizontal="center" vertical="center" wrapText="1"/>
    </xf>
    <xf numFmtId="0" fontId="97" fillId="19" borderId="0" xfId="4" applyFont="1" applyFill="1">
      <alignment vertical="top" wrapText="1"/>
    </xf>
    <xf numFmtId="0" fontId="18" fillId="0" borderId="0" xfId="4" applyFont="1" applyAlignment="1">
      <alignment horizontal="center" vertical="center"/>
    </xf>
    <xf numFmtId="0" fontId="30" fillId="0" borderId="32" xfId="4" applyFont="1" applyBorder="1" applyAlignment="1">
      <alignment horizontal="center" vertical="center" wrapText="1"/>
    </xf>
    <xf numFmtId="0" fontId="18" fillId="0" borderId="32" xfId="4" applyFont="1" applyBorder="1" applyAlignment="1">
      <alignment horizontal="center" vertical="center" wrapText="1"/>
    </xf>
    <xf numFmtId="0" fontId="18" fillId="0" borderId="32" xfId="4" applyFont="1" applyBorder="1" applyAlignment="1">
      <alignment horizontal="center" vertical="center"/>
    </xf>
    <xf numFmtId="0" fontId="30" fillId="0" borderId="30" xfId="4" applyFont="1" applyBorder="1" applyAlignment="1">
      <alignment horizontal="center" vertical="center" wrapText="1"/>
    </xf>
    <xf numFmtId="0" fontId="18" fillId="0" borderId="30" xfId="4" applyFont="1" applyBorder="1" applyAlignment="1">
      <alignment horizontal="center" vertical="center" wrapText="1"/>
    </xf>
    <xf numFmtId="0" fontId="18" fillId="0" borderId="30" xfId="4" applyFont="1" applyBorder="1" applyAlignment="1">
      <alignment horizontal="center" vertical="center"/>
    </xf>
    <xf numFmtId="0" fontId="27" fillId="20" borderId="7" xfId="2" applyFont="1" applyFill="1" applyBorder="1" applyAlignment="1">
      <alignment vertical="center" wrapText="1"/>
    </xf>
    <xf numFmtId="0" fontId="0" fillId="0" borderId="0" xfId="0" applyAlignment="1"/>
    <xf numFmtId="0" fontId="70" fillId="0" borderId="0" xfId="4" applyFont="1" applyAlignment="1">
      <alignment vertical="center" wrapText="1"/>
    </xf>
    <xf numFmtId="0" fontId="103" fillId="0" borderId="0" xfId="4" applyFont="1" applyAlignment="1">
      <alignment vertical="center" wrapText="1"/>
    </xf>
    <xf numFmtId="0" fontId="86" fillId="25" borderId="1" xfId="0" applyFont="1" applyFill="1" applyBorder="1" applyAlignment="1">
      <alignment horizontal="center" vertical="center" wrapText="1"/>
    </xf>
    <xf numFmtId="0" fontId="0" fillId="0" borderId="0" xfId="0" pivotButton="1">
      <alignment vertical="top" wrapText="1"/>
    </xf>
    <xf numFmtId="166" fontId="0" fillId="0" borderId="0" xfId="0" applyNumberFormat="1">
      <alignment vertical="top" wrapText="1"/>
    </xf>
    <xf numFmtId="0" fontId="113" fillId="0" borderId="0" xfId="4" applyFont="1">
      <alignment vertical="top" wrapText="1"/>
    </xf>
    <xf numFmtId="0" fontId="105" fillId="19" borderId="6" xfId="4" applyFont="1" applyFill="1" applyBorder="1" applyAlignment="1">
      <alignment horizontal="center" vertical="center" wrapText="1"/>
    </xf>
    <xf numFmtId="0" fontId="85" fillId="19" borderId="42" xfId="0" applyFont="1" applyFill="1" applyBorder="1" applyAlignment="1">
      <alignment horizontal="center" vertical="center" wrapText="1"/>
    </xf>
    <xf numFmtId="0" fontId="85" fillId="19" borderId="2" xfId="0" applyFont="1" applyFill="1" applyBorder="1" applyAlignment="1">
      <alignment horizontal="center" vertical="center"/>
    </xf>
    <xf numFmtId="49" fontId="85" fillId="19" borderId="2" xfId="0" applyNumberFormat="1" applyFont="1" applyFill="1" applyBorder="1" applyAlignment="1">
      <alignment horizontal="center" vertical="center"/>
    </xf>
    <xf numFmtId="0" fontId="12" fillId="19" borderId="2" xfId="0" applyFont="1" applyFill="1" applyBorder="1" applyAlignment="1">
      <alignment horizontal="center" vertical="center"/>
    </xf>
    <xf numFmtId="0" fontId="0" fillId="0" borderId="0" xfId="0" applyAlignment="1">
      <alignment horizontal="center" vertical="center"/>
    </xf>
    <xf numFmtId="0" fontId="11" fillId="10" borderId="1" xfId="0" applyFont="1" applyFill="1" applyBorder="1" applyAlignment="1">
      <alignment horizontal="center" vertical="center"/>
    </xf>
    <xf numFmtId="0" fontId="115" fillId="0" borderId="0" xfId="0" applyFont="1">
      <alignment vertical="top" wrapText="1"/>
    </xf>
    <xf numFmtId="0" fontId="0" fillId="0" borderId="4" xfId="0" applyBorder="1" applyAlignment="1">
      <alignment vertical="center" wrapText="1"/>
    </xf>
    <xf numFmtId="0" fontId="25" fillId="32" borderId="13" xfId="0" applyFont="1" applyFill="1" applyBorder="1" applyAlignment="1">
      <alignment horizontal="center" vertical="center"/>
    </xf>
    <xf numFmtId="0" fontId="2" fillId="0" borderId="0" xfId="0" applyFont="1" applyAlignment="1">
      <alignment horizontal="center" vertical="center"/>
    </xf>
    <xf numFmtId="0" fontId="0" fillId="3" borderId="1" xfId="0" applyFill="1" applyBorder="1" applyAlignment="1">
      <alignment vertical="center" wrapText="1"/>
    </xf>
    <xf numFmtId="9" fontId="0" fillId="3" borderId="1" xfId="0" applyNumberFormat="1" applyFill="1" applyBorder="1" applyAlignment="1">
      <alignment vertical="center" wrapText="1"/>
    </xf>
    <xf numFmtId="0" fontId="0" fillId="35" borderId="1" xfId="0" applyFill="1" applyBorder="1" applyAlignment="1">
      <alignment vertical="center" wrapText="1"/>
    </xf>
    <xf numFmtId="9" fontId="0" fillId="35" borderId="1" xfId="0" applyNumberFormat="1" applyFill="1" applyBorder="1" applyAlignment="1">
      <alignment vertical="center" wrapText="1"/>
    </xf>
    <xf numFmtId="0" fontId="0" fillId="0" borderId="4" xfId="0" applyBorder="1" applyAlignment="1"/>
    <xf numFmtId="0" fontId="106" fillId="19" borderId="49" xfId="4" applyFont="1" applyFill="1" applyBorder="1" applyAlignment="1">
      <alignment horizontal="center" vertical="center" wrapText="1"/>
    </xf>
    <xf numFmtId="0" fontId="106" fillId="19" borderId="4" xfId="4" applyFont="1" applyFill="1" applyBorder="1" applyAlignment="1">
      <alignment horizontal="center" vertical="center" wrapText="1"/>
    </xf>
    <xf numFmtId="0" fontId="106" fillId="19" borderId="18" xfId="4" applyFont="1" applyFill="1" applyBorder="1" applyAlignment="1">
      <alignment horizontal="center" vertical="center" wrapText="1"/>
    </xf>
    <xf numFmtId="0" fontId="116" fillId="21" borderId="6" xfId="4" applyFont="1" applyFill="1" applyBorder="1" applyAlignment="1">
      <alignment horizontal="center" vertical="center" wrapText="1"/>
    </xf>
    <xf numFmtId="0" fontId="102" fillId="0" borderId="1" xfId="4" applyFont="1" applyBorder="1" applyAlignment="1">
      <alignment horizontal="center" vertical="center" wrapText="1"/>
    </xf>
    <xf numFmtId="0" fontId="102" fillId="0" borderId="18" xfId="4" applyFont="1" applyBorder="1" applyAlignment="1">
      <alignment horizontal="center" vertical="center" wrapText="1"/>
    </xf>
    <xf numFmtId="0" fontId="116" fillId="10" borderId="6" xfId="4" applyFont="1" applyFill="1" applyBorder="1" applyAlignment="1">
      <alignment horizontal="center" vertical="center" wrapText="1"/>
    </xf>
    <xf numFmtId="0" fontId="116" fillId="19" borderId="51" xfId="4" applyFont="1" applyFill="1" applyBorder="1" applyAlignment="1">
      <alignment horizontal="center" vertical="center" wrapText="1"/>
    </xf>
    <xf numFmtId="0" fontId="116" fillId="0" borderId="34" xfId="4" applyFont="1" applyBorder="1" applyAlignment="1">
      <alignment horizontal="center" vertical="center" wrapText="1"/>
    </xf>
    <xf numFmtId="0" fontId="116" fillId="0" borderId="29" xfId="4" applyFont="1" applyBorder="1" applyAlignment="1">
      <alignment horizontal="center" vertical="center" wrapText="1"/>
    </xf>
    <xf numFmtId="0" fontId="106" fillId="19" borderId="6" xfId="4" applyFont="1" applyFill="1" applyBorder="1" applyAlignment="1">
      <alignment horizontal="center" vertical="center"/>
    </xf>
    <xf numFmtId="0" fontId="102" fillId="0" borderId="55" xfId="4" applyFont="1" applyBorder="1" applyAlignment="1">
      <alignment horizontal="center" vertical="center" wrapText="1"/>
    </xf>
    <xf numFmtId="0" fontId="102" fillId="34" borderId="6" xfId="4" applyFont="1" applyFill="1" applyBorder="1" applyAlignment="1">
      <alignment horizontal="center" vertical="center"/>
    </xf>
    <xf numFmtId="0" fontId="102" fillId="34" borderId="51" xfId="4" applyFont="1" applyFill="1" applyBorder="1" applyAlignment="1">
      <alignment horizontal="center" vertical="center"/>
    </xf>
    <xf numFmtId="0" fontId="106" fillId="19" borderId="16" xfId="4" applyFont="1" applyFill="1" applyBorder="1" applyAlignment="1">
      <alignment horizontal="center" vertical="center" wrapText="1"/>
    </xf>
    <xf numFmtId="0" fontId="106" fillId="19" borderId="5" xfId="4" applyFont="1" applyFill="1" applyBorder="1" applyAlignment="1">
      <alignment horizontal="center" vertical="center" wrapText="1"/>
    </xf>
    <xf numFmtId="0" fontId="106" fillId="19" borderId="17" xfId="4" applyFont="1" applyFill="1" applyBorder="1" applyAlignment="1">
      <alignment horizontal="center" vertical="center" wrapText="1"/>
    </xf>
    <xf numFmtId="0" fontId="105" fillId="21" borderId="6" xfId="4" applyFont="1" applyFill="1" applyBorder="1" applyAlignment="1">
      <alignment horizontal="center" vertical="center" wrapText="1"/>
    </xf>
    <xf numFmtId="0" fontId="102" fillId="28" borderId="51" xfId="4" applyFont="1" applyFill="1" applyBorder="1" applyAlignment="1">
      <alignment horizontal="center" vertical="center" wrapText="1"/>
    </xf>
    <xf numFmtId="0" fontId="102" fillId="0" borderId="45" xfId="4" applyFont="1" applyBorder="1" applyAlignment="1">
      <alignment horizontal="center" vertical="center" wrapText="1"/>
    </xf>
    <xf numFmtId="0" fontId="106" fillId="19" borderId="1" xfId="0" applyFont="1" applyFill="1" applyBorder="1" applyAlignment="1">
      <alignment horizontal="center" vertical="center" wrapText="1"/>
    </xf>
    <xf numFmtId="0" fontId="105" fillId="19" borderId="0" xfId="4" applyFont="1" applyFill="1" applyAlignment="1">
      <alignment vertical="center" wrapText="1"/>
    </xf>
    <xf numFmtId="0" fontId="105" fillId="0" borderId="0" xfId="4" applyFont="1" applyAlignment="1">
      <alignment vertical="center" wrapText="1"/>
    </xf>
    <xf numFmtId="0" fontId="106" fillId="0" borderId="0" xfId="4" applyFont="1" applyAlignment="1">
      <alignment vertical="center" wrapText="1"/>
    </xf>
    <xf numFmtId="0" fontId="112" fillId="0" borderId="18" xfId="4" applyFont="1" applyBorder="1" applyAlignment="1">
      <alignment horizontal="center" vertical="center" wrapText="1"/>
    </xf>
    <xf numFmtId="0" fontId="112" fillId="0" borderId="55" xfId="4" applyFont="1" applyBorder="1" applyAlignment="1">
      <alignment horizontal="center" vertical="center" wrapText="1"/>
    </xf>
    <xf numFmtId="0" fontId="101" fillId="36" borderId="1" xfId="4" applyFont="1" applyFill="1" applyBorder="1" applyAlignment="1">
      <alignment horizontal="center" vertical="center" wrapText="1"/>
    </xf>
    <xf numFmtId="0" fontId="101" fillId="10" borderId="18" xfId="4" applyFont="1" applyFill="1" applyBorder="1" applyAlignment="1">
      <alignment horizontal="center" vertical="center" wrapText="1"/>
    </xf>
    <xf numFmtId="0" fontId="106" fillId="19" borderId="6" xfId="0" applyFont="1" applyFill="1" applyBorder="1" applyAlignment="1">
      <alignment horizontal="center" vertical="center" wrapText="1"/>
    </xf>
    <xf numFmtId="0" fontId="102" fillId="34" borderId="6" xfId="0" applyFont="1" applyFill="1" applyBorder="1" applyAlignment="1">
      <alignment horizontal="center" vertical="center" wrapText="1"/>
    </xf>
    <xf numFmtId="0" fontId="102" fillId="34" borderId="51" xfId="0" applyFont="1" applyFill="1" applyBorder="1" applyAlignment="1">
      <alignment horizontal="center" vertical="center" wrapText="1"/>
    </xf>
    <xf numFmtId="0" fontId="116" fillId="21" borderId="68" xfId="4" applyFont="1" applyFill="1" applyBorder="1" applyAlignment="1">
      <alignment horizontal="center" vertical="center" wrapText="1"/>
    </xf>
    <xf numFmtId="0" fontId="116" fillId="10" borderId="68" xfId="4" applyFont="1" applyFill="1" applyBorder="1" applyAlignment="1">
      <alignment horizontal="center" vertical="center" wrapText="1"/>
    </xf>
    <xf numFmtId="0" fontId="116" fillId="19" borderId="69" xfId="4" applyFont="1" applyFill="1" applyBorder="1" applyAlignment="1">
      <alignment horizontal="center" vertical="center" wrapText="1"/>
    </xf>
    <xf numFmtId="0" fontId="106" fillId="19" borderId="6" xfId="4" applyFont="1" applyFill="1" applyBorder="1" applyAlignment="1">
      <alignment horizontal="center" vertical="center" wrapText="1"/>
    </xf>
    <xf numFmtId="0" fontId="106" fillId="19" borderId="1" xfId="4" applyFont="1" applyFill="1" applyBorder="1" applyAlignment="1">
      <alignment horizontal="center" vertical="center" wrapText="1"/>
    </xf>
    <xf numFmtId="0" fontId="106" fillId="19" borderId="27" xfId="4" applyFont="1" applyFill="1" applyBorder="1" applyAlignment="1">
      <alignment horizontal="center" vertical="center" wrapText="1"/>
    </xf>
    <xf numFmtId="14" fontId="14" fillId="7" borderId="2" xfId="2" applyNumberFormat="1" applyFont="1" applyFill="1" applyBorder="1" applyAlignment="1">
      <alignment vertical="center" wrapText="1"/>
    </xf>
    <xf numFmtId="0" fontId="2" fillId="19" borderId="0" xfId="4" applyFill="1">
      <alignment vertical="top" wrapText="1"/>
    </xf>
    <xf numFmtId="0" fontId="2" fillId="19" borderId="0" xfId="4" applyFill="1" applyAlignment="1">
      <alignment vertical="top"/>
    </xf>
    <xf numFmtId="0" fontId="100" fillId="19" borderId="0" xfId="4" applyFont="1" applyFill="1" applyAlignment="1">
      <alignment horizontal="center" vertical="center" wrapText="1"/>
    </xf>
    <xf numFmtId="0" fontId="30" fillId="19" borderId="0" xfId="4" applyFont="1" applyFill="1" applyAlignment="1">
      <alignment horizontal="center" vertical="center" wrapText="1"/>
    </xf>
    <xf numFmtId="0" fontId="18" fillId="19" borderId="0" xfId="4" applyFont="1" applyFill="1" applyAlignment="1">
      <alignment horizontal="center" vertical="center" wrapText="1"/>
    </xf>
    <xf numFmtId="0" fontId="18" fillId="19" borderId="0" xfId="4" applyFont="1" applyFill="1" applyAlignment="1">
      <alignment horizontal="center" vertical="center"/>
    </xf>
    <xf numFmtId="0" fontId="101" fillId="2" borderId="18" xfId="4" applyFont="1" applyFill="1" applyBorder="1" applyAlignment="1">
      <alignment horizontal="center" vertical="center" wrapText="1"/>
    </xf>
    <xf numFmtId="0" fontId="102" fillId="34" borderId="6" xfId="4" applyFont="1" applyFill="1" applyBorder="1" applyAlignment="1">
      <alignment vertical="center"/>
    </xf>
    <xf numFmtId="0" fontId="102" fillId="34" borderId="51" xfId="4" applyFont="1" applyFill="1" applyBorder="1" applyAlignment="1">
      <alignment vertical="center"/>
    </xf>
    <xf numFmtId="0" fontId="29" fillId="37" borderId="1" xfId="0" applyFont="1" applyFill="1" applyBorder="1" applyAlignment="1">
      <alignment vertical="center"/>
    </xf>
    <xf numFmtId="0" fontId="108" fillId="37" borderId="1" xfId="0" applyFont="1" applyFill="1" applyBorder="1" applyAlignment="1">
      <alignment vertical="center"/>
    </xf>
    <xf numFmtId="0" fontId="18" fillId="37" borderId="1" xfId="0" applyFont="1" applyFill="1" applyBorder="1" applyAlignment="1">
      <alignment horizontal="center" vertical="center"/>
    </xf>
    <xf numFmtId="0" fontId="86" fillId="25" borderId="1" xfId="0" applyFont="1" applyFill="1" applyBorder="1" applyAlignment="1">
      <alignment horizontal="left" vertical="center" wrapText="1"/>
    </xf>
    <xf numFmtId="0" fontId="85" fillId="12" borderId="1" xfId="0" applyFont="1" applyFill="1" applyBorder="1" applyAlignment="1">
      <alignment horizontal="center" vertical="center"/>
    </xf>
    <xf numFmtId="0" fontId="89" fillId="10" borderId="1" xfId="0" applyFont="1" applyFill="1" applyBorder="1" applyAlignment="1">
      <alignment horizontal="center" vertical="center"/>
    </xf>
    <xf numFmtId="0" fontId="86" fillId="25" borderId="1" xfId="0" applyFont="1" applyFill="1" applyBorder="1" applyAlignment="1">
      <alignment horizontal="left" vertical="top" wrapText="1"/>
    </xf>
    <xf numFmtId="0" fontId="85" fillId="11" borderId="1" xfId="0" applyFont="1" applyFill="1" applyBorder="1" applyAlignment="1">
      <alignment horizontal="center" vertical="center"/>
    </xf>
    <xf numFmtId="0" fontId="107" fillId="10" borderId="73" xfId="0" applyFont="1" applyFill="1" applyBorder="1" applyAlignment="1">
      <alignment horizontal="left" vertical="center"/>
    </xf>
    <xf numFmtId="0" fontId="120" fillId="0" borderId="0" xfId="0" applyFont="1" applyAlignment="1">
      <alignment vertical="center"/>
    </xf>
    <xf numFmtId="0" fontId="121" fillId="0" borderId="0" xfId="0" applyFont="1" applyAlignment="1"/>
    <xf numFmtId="0" fontId="25" fillId="32" borderId="1" xfId="0" applyFont="1" applyFill="1" applyBorder="1" applyAlignment="1">
      <alignment horizontal="center" vertical="center" wrapText="1"/>
    </xf>
    <xf numFmtId="0" fontId="25" fillId="32" borderId="48" xfId="0" applyFont="1" applyFill="1" applyBorder="1" applyAlignment="1">
      <alignment horizontal="left" vertical="center"/>
    </xf>
    <xf numFmtId="0" fontId="0" fillId="0" borderId="23" xfId="0" applyBorder="1" applyAlignment="1">
      <alignment vertical="center" wrapText="1"/>
    </xf>
    <xf numFmtId="0" fontId="0" fillId="0" borderId="2" xfId="0" applyBorder="1" applyAlignment="1">
      <alignment vertical="center" wrapText="1"/>
    </xf>
    <xf numFmtId="0" fontId="88" fillId="33" borderId="1" xfId="0" applyFont="1" applyFill="1" applyBorder="1" applyAlignment="1">
      <alignment horizontal="center" vertical="center"/>
    </xf>
    <xf numFmtId="0" fontId="87" fillId="26" borderId="1" xfId="0" applyFont="1" applyFill="1" applyBorder="1" applyAlignment="1">
      <alignment horizontal="center" vertical="center"/>
    </xf>
    <xf numFmtId="0" fontId="11" fillId="11" borderId="1" xfId="0" applyFont="1" applyFill="1" applyBorder="1" applyAlignment="1">
      <alignment horizontal="center" vertical="center"/>
    </xf>
    <xf numFmtId="0" fontId="95" fillId="3" borderId="1" xfId="0" applyFont="1" applyFill="1" applyBorder="1" applyAlignment="1">
      <alignment horizontal="left" vertical="center" wrapText="1"/>
    </xf>
    <xf numFmtId="0" fontId="109" fillId="10" borderId="1" xfId="0" applyFont="1" applyFill="1" applyBorder="1" applyAlignment="1">
      <alignment horizontal="center" vertical="center"/>
    </xf>
    <xf numFmtId="0" fontId="110" fillId="11" borderId="1" xfId="0" applyFont="1" applyFill="1" applyBorder="1" applyAlignment="1">
      <alignment horizontal="center" vertical="center"/>
    </xf>
    <xf numFmtId="0" fontId="29" fillId="38" borderId="1" xfId="0" applyFont="1" applyFill="1" applyBorder="1" applyAlignment="1">
      <alignment vertical="center"/>
    </xf>
    <xf numFmtId="0" fontId="108" fillId="38" borderId="1" xfId="0" applyFont="1" applyFill="1" applyBorder="1" applyAlignment="1">
      <alignment vertical="center"/>
    </xf>
    <xf numFmtId="0" fontId="18" fillId="38" borderId="1" xfId="0" applyFont="1" applyFill="1" applyBorder="1" applyAlignment="1">
      <alignment horizontal="center" vertical="center"/>
    </xf>
    <xf numFmtId="0" fontId="29" fillId="39" borderId="1" xfId="0" applyFont="1" applyFill="1" applyBorder="1" applyAlignment="1">
      <alignment vertical="center"/>
    </xf>
    <xf numFmtId="0" fontId="108" fillId="39" borderId="1" xfId="0" applyFont="1" applyFill="1" applyBorder="1" applyAlignment="1">
      <alignment vertical="center"/>
    </xf>
    <xf numFmtId="0" fontId="18" fillId="39" borderId="1" xfId="0" applyFont="1" applyFill="1" applyBorder="1" applyAlignment="1">
      <alignment horizontal="center" vertical="center"/>
    </xf>
    <xf numFmtId="0" fontId="29" fillId="28" borderId="1" xfId="0" applyFont="1" applyFill="1" applyBorder="1" applyAlignment="1">
      <alignment vertical="center"/>
    </xf>
    <xf numFmtId="0" fontId="108" fillId="28" borderId="1" xfId="0" applyFont="1" applyFill="1" applyBorder="1" applyAlignment="1">
      <alignment vertical="center"/>
    </xf>
    <xf numFmtId="0" fontId="18" fillId="28" borderId="1" xfId="0" applyFont="1" applyFill="1" applyBorder="1" applyAlignment="1">
      <alignment horizontal="center" vertical="center"/>
    </xf>
    <xf numFmtId="9" fontId="101" fillId="40" borderId="1" xfId="5" applyFont="1" applyFill="1" applyBorder="1" applyAlignment="1">
      <alignment horizontal="center" vertical="center" wrapText="1"/>
    </xf>
    <xf numFmtId="9" fontId="101" fillId="2" borderId="1" xfId="5" applyFont="1" applyFill="1" applyBorder="1" applyAlignment="1">
      <alignment horizontal="center" vertical="center" wrapText="1"/>
    </xf>
    <xf numFmtId="9" fontId="101" fillId="0" borderId="18" xfId="5" applyFont="1" applyBorder="1" applyAlignment="1">
      <alignment horizontal="center" vertical="center" wrapText="1"/>
    </xf>
    <xf numFmtId="0" fontId="103" fillId="31" borderId="31" xfId="4" applyFont="1" applyFill="1" applyBorder="1" applyAlignment="1">
      <alignment vertical="center" wrapText="1"/>
    </xf>
    <xf numFmtId="0" fontId="103" fillId="31" borderId="32" xfId="4" applyFont="1" applyFill="1" applyBorder="1" applyAlignment="1">
      <alignment vertical="center" wrapText="1"/>
    </xf>
    <xf numFmtId="0" fontId="103" fillId="31" borderId="33" xfId="4" applyFont="1" applyFill="1" applyBorder="1" applyAlignment="1">
      <alignment vertical="center" wrapText="1"/>
    </xf>
    <xf numFmtId="0" fontId="103" fillId="31" borderId="34" xfId="4" applyFont="1" applyFill="1" applyBorder="1" applyAlignment="1">
      <alignment vertical="center" wrapText="1"/>
    </xf>
    <xf numFmtId="0" fontId="103" fillId="31" borderId="0" xfId="4" applyFont="1" applyFill="1" applyAlignment="1">
      <alignment vertical="center" wrapText="1"/>
    </xf>
    <xf numFmtId="0" fontId="103" fillId="31" borderId="48" xfId="4" applyFont="1" applyFill="1" applyBorder="1" applyAlignment="1">
      <alignment vertical="center" wrapText="1"/>
    </xf>
    <xf numFmtId="0" fontId="70" fillId="31" borderId="34" xfId="4" applyFont="1" applyFill="1" applyBorder="1" applyAlignment="1">
      <alignment vertical="center" wrapText="1"/>
    </xf>
    <xf numFmtId="0" fontId="70" fillId="31" borderId="0" xfId="4" applyFont="1" applyFill="1" applyAlignment="1">
      <alignment vertical="center" wrapText="1"/>
    </xf>
    <xf numFmtId="0" fontId="70" fillId="31" borderId="48" xfId="4" applyFont="1" applyFill="1" applyBorder="1" applyAlignment="1">
      <alignment vertical="center" wrapText="1"/>
    </xf>
    <xf numFmtId="0" fontId="70" fillId="31" borderId="29" xfId="4" applyFont="1" applyFill="1" applyBorder="1" applyAlignment="1">
      <alignment vertical="center" wrapText="1"/>
    </xf>
    <xf numFmtId="0" fontId="70" fillId="31" borderId="30" xfId="4" applyFont="1" applyFill="1" applyBorder="1" applyAlignment="1">
      <alignment vertical="center" wrapText="1"/>
    </xf>
    <xf numFmtId="0" fontId="70" fillId="31" borderId="13" xfId="4" applyFont="1" applyFill="1" applyBorder="1" applyAlignment="1">
      <alignment vertical="center" wrapText="1"/>
    </xf>
    <xf numFmtId="0" fontId="106" fillId="3" borderId="0" xfId="4" applyFont="1" applyFill="1" applyAlignment="1">
      <alignment horizontal="center" vertical="center"/>
    </xf>
    <xf numFmtId="0" fontId="106" fillId="3" borderId="0" xfId="4" applyFont="1" applyFill="1" applyAlignment="1">
      <alignment horizontal="center" vertical="center" wrapText="1"/>
    </xf>
    <xf numFmtId="0" fontId="105" fillId="3" borderId="0" xfId="4" applyFont="1" applyFill="1" applyAlignment="1">
      <alignment vertical="center"/>
    </xf>
    <xf numFmtId="9" fontId="114" fillId="3" borderId="0" xfId="5" applyFont="1" applyFill="1" applyBorder="1" applyAlignment="1">
      <alignment horizontal="center" vertical="center" wrapText="1"/>
    </xf>
    <xf numFmtId="0" fontId="114" fillId="21" borderId="1" xfId="4" applyFont="1" applyFill="1" applyBorder="1" applyAlignment="1">
      <alignment vertical="center" wrapText="1"/>
    </xf>
    <xf numFmtId="0" fontId="112" fillId="10" borderId="1" xfId="4" applyFont="1" applyFill="1" applyBorder="1" applyAlignment="1">
      <alignment vertical="center" wrapText="1"/>
    </xf>
    <xf numFmtId="0" fontId="112" fillId="19" borderId="1" xfId="4" applyFont="1" applyFill="1" applyBorder="1" applyAlignment="1">
      <alignment vertical="center" wrapText="1"/>
    </xf>
    <xf numFmtId="6" fontId="0" fillId="0" borderId="1" xfId="0" applyNumberFormat="1" applyBorder="1" applyAlignment="1">
      <alignment vertical="center" wrapText="1"/>
    </xf>
    <xf numFmtId="0" fontId="70" fillId="0" borderId="0" xfId="0" applyFont="1" applyAlignment="1">
      <alignment horizontal="center" vertical="center"/>
    </xf>
    <xf numFmtId="0" fontId="110" fillId="41" borderId="1" xfId="0" applyFont="1" applyFill="1" applyBorder="1" applyAlignment="1">
      <alignment horizontal="center" vertical="center"/>
    </xf>
    <xf numFmtId="0" fontId="19" fillId="29" borderId="1" xfId="0" applyFont="1" applyFill="1" applyBorder="1" applyAlignment="1">
      <alignment vertical="center" wrapText="1"/>
    </xf>
    <xf numFmtId="0" fontId="19" fillId="37" borderId="1" xfId="0" applyFont="1" applyFill="1" applyBorder="1" applyAlignment="1">
      <alignment vertical="center" wrapText="1"/>
    </xf>
    <xf numFmtId="0" fontId="19" fillId="38" borderId="1" xfId="0" applyFont="1" applyFill="1" applyBorder="1" applyAlignment="1">
      <alignment vertical="center" wrapText="1"/>
    </xf>
    <xf numFmtId="0" fontId="19" fillId="39" borderId="1" xfId="0" applyFont="1" applyFill="1" applyBorder="1" applyAlignment="1">
      <alignment vertical="center" wrapText="1"/>
    </xf>
    <xf numFmtId="0" fontId="19" fillId="28" borderId="1" xfId="0" applyFont="1" applyFill="1" applyBorder="1" applyAlignment="1">
      <alignment vertical="center" wrapText="1"/>
    </xf>
    <xf numFmtId="0" fontId="122" fillId="2" borderId="1" xfId="0" applyFont="1" applyFill="1" applyBorder="1" applyAlignment="1">
      <alignment horizontal="center" vertical="center" wrapText="1"/>
    </xf>
    <xf numFmtId="0" fontId="122" fillId="0" borderId="1" xfId="0" applyFont="1" applyBorder="1" applyAlignment="1">
      <alignment vertical="center" wrapText="1"/>
    </xf>
    <xf numFmtId="0" fontId="28" fillId="0" borderId="1" xfId="0" applyFont="1" applyBorder="1" applyAlignment="1">
      <alignment horizontal="center" vertical="center" wrapText="1"/>
    </xf>
    <xf numFmtId="0" fontId="123" fillId="19" borderId="4" xfId="0" applyFont="1" applyFill="1" applyBorder="1" applyAlignment="1">
      <alignment horizontal="left" vertical="center" wrapText="1"/>
    </xf>
    <xf numFmtId="0" fontId="19" fillId="0" borderId="23" xfId="0" applyFont="1" applyBorder="1" applyAlignment="1">
      <alignment vertical="center" wrapText="1"/>
    </xf>
    <xf numFmtId="0" fontId="2" fillId="0" borderId="23" xfId="0" applyFont="1" applyBorder="1">
      <alignment vertical="top" wrapText="1"/>
    </xf>
    <xf numFmtId="0" fontId="70" fillId="0" borderId="23" xfId="0" applyFont="1" applyBorder="1" applyAlignment="1">
      <alignment horizontal="left" vertical="center" wrapText="1" indent="4"/>
    </xf>
    <xf numFmtId="0" fontId="2" fillId="0" borderId="23" xfId="0" applyFont="1" applyBorder="1" applyAlignment="1">
      <alignment horizontal="left" vertical="center" wrapText="1" indent="5"/>
    </xf>
    <xf numFmtId="0" fontId="2" fillId="0" borderId="23" xfId="0" applyFont="1" applyBorder="1" applyAlignment="1">
      <alignment horizontal="left" vertical="center" wrapText="1" indent="9"/>
    </xf>
    <xf numFmtId="0" fontId="70" fillId="0" borderId="23" xfId="0" applyFont="1" applyBorder="1" applyAlignment="1">
      <alignment vertical="center" wrapText="1"/>
    </xf>
    <xf numFmtId="0" fontId="19" fillId="0" borderId="23" xfId="0" applyFont="1" applyBorder="1" applyAlignment="1">
      <alignment horizontal="left" vertical="center" wrapText="1" indent="1"/>
    </xf>
    <xf numFmtId="0" fontId="19" fillId="0" borderId="23" xfId="0" applyFont="1" applyBorder="1" applyAlignment="1">
      <alignment horizontal="left" vertical="center" wrapText="1" indent="2"/>
    </xf>
    <xf numFmtId="0" fontId="19" fillId="0" borderId="23" xfId="0" applyFont="1" applyBorder="1" applyAlignment="1">
      <alignment horizontal="left" vertical="center" wrapText="1" indent="3"/>
    </xf>
    <xf numFmtId="0" fontId="19" fillId="0" borderId="23" xfId="0" applyFont="1" applyBorder="1" applyAlignment="1">
      <alignment horizontal="left" vertical="center" wrapText="1" indent="9"/>
    </xf>
    <xf numFmtId="0" fontId="2" fillId="0" borderId="2" xfId="0" applyFont="1" applyBorder="1">
      <alignment vertical="top" wrapText="1"/>
    </xf>
    <xf numFmtId="0" fontId="129" fillId="30" borderId="1" xfId="0" applyFont="1" applyFill="1" applyBorder="1" applyAlignment="1">
      <alignment horizontal="center" vertical="center"/>
    </xf>
    <xf numFmtId="0" fontId="130" fillId="0" borderId="0" xfId="0" applyFont="1" applyAlignment="1">
      <alignment horizontal="center" vertical="center"/>
      <extLst>
        <ext xmlns:xfpb="http://schemas.microsoft.com/office/spreadsheetml/2022/featurepropertybag" uri="{C7286773-470A-42A8-94C5-96B5CB345126}">
          <xfpb:xfComplement i="0"/>
        </ext>
      </extLst>
    </xf>
    <xf numFmtId="0" fontId="27" fillId="20" borderId="35" xfId="1" applyFont="1" applyFill="1" applyBorder="1" applyAlignment="1">
      <alignment horizontal="center" vertical="center" wrapText="1"/>
    </xf>
    <xf numFmtId="0" fontId="27" fillId="20" borderId="23" xfId="1" applyFont="1" applyFill="1" applyBorder="1" applyAlignment="1">
      <alignment horizontal="center" vertical="center"/>
    </xf>
    <xf numFmtId="0" fontId="27" fillId="20" borderId="4" xfId="1" applyFont="1" applyFill="1" applyBorder="1" applyAlignment="1">
      <alignment horizontal="center" vertical="center" wrapText="1"/>
    </xf>
    <xf numFmtId="0" fontId="27" fillId="20" borderId="8" xfId="1" applyFont="1" applyFill="1" applyBorder="1" applyAlignment="1">
      <alignment horizontal="center" vertical="center" wrapText="1"/>
    </xf>
    <xf numFmtId="0" fontId="27" fillId="20" borderId="4" xfId="1" applyFont="1" applyFill="1" applyBorder="1" applyAlignment="1">
      <alignment horizontal="center" vertical="center"/>
    </xf>
    <xf numFmtId="0" fontId="12" fillId="19" borderId="4" xfId="1" applyFont="1" applyFill="1" applyBorder="1" applyAlignment="1">
      <alignment horizontal="center" vertical="center" wrapText="1"/>
    </xf>
    <xf numFmtId="0" fontId="29" fillId="13" borderId="2" xfId="0" applyFont="1" applyFill="1" applyBorder="1" applyAlignment="1">
      <alignment horizontal="left" vertical="center" wrapText="1"/>
    </xf>
    <xf numFmtId="0" fontId="29" fillId="13" borderId="42" xfId="0" applyFont="1" applyFill="1" applyBorder="1" applyAlignment="1">
      <alignment horizontal="left" vertical="center" wrapText="1"/>
    </xf>
    <xf numFmtId="0" fontId="2" fillId="0" borderId="0" xfId="0" applyFont="1" applyAlignment="1">
      <alignment horizontal="center" vertical="center" wrapText="1"/>
    </xf>
    <xf numFmtId="10" fontId="2" fillId="0" borderId="0" xfId="0" applyNumberFormat="1" applyFont="1">
      <alignment vertical="top" wrapText="1"/>
    </xf>
    <xf numFmtId="49" fontId="11" fillId="34" borderId="1" xfId="5" applyNumberFormat="1" applyFont="1" applyFill="1" applyBorder="1" applyAlignment="1">
      <alignment horizontal="right" vertical="center"/>
    </xf>
    <xf numFmtId="0" fontId="11" fillId="12" borderId="1" xfId="5" applyNumberFormat="1" applyFont="1" applyFill="1" applyBorder="1" applyAlignment="1">
      <alignment horizontal="center" vertical="center"/>
    </xf>
    <xf numFmtId="164" fontId="8" fillId="19" borderId="10" xfId="0" applyNumberFormat="1" applyFont="1" applyFill="1" applyBorder="1" applyAlignment="1">
      <alignment horizontal="center" vertical="center" wrapText="1"/>
    </xf>
    <xf numFmtId="0" fontId="109" fillId="0" borderId="1" xfId="0" applyFont="1" applyBorder="1" applyAlignment="1">
      <alignment horizontal="center" vertical="center"/>
    </xf>
    <xf numFmtId="0" fontId="7" fillId="5" borderId="0" xfId="1" applyFont="1" applyFill="1" applyAlignment="1">
      <alignment horizontal="center" vertical="center"/>
    </xf>
    <xf numFmtId="0" fontId="12" fillId="19" borderId="7" xfId="4" applyFont="1" applyFill="1" applyBorder="1" applyAlignment="1">
      <alignment vertical="center" wrapText="1"/>
    </xf>
    <xf numFmtId="0" fontId="13" fillId="3" borderId="2" xfId="4" applyFont="1" applyFill="1" applyBorder="1" applyAlignment="1">
      <alignment vertical="center" wrapText="1"/>
    </xf>
    <xf numFmtId="0" fontId="13" fillId="3" borderId="2" xfId="4" applyFont="1" applyFill="1" applyBorder="1" applyAlignment="1">
      <alignment horizontal="center" vertical="center" wrapText="1"/>
    </xf>
    <xf numFmtId="0" fontId="13" fillId="3" borderId="2" xfId="4" applyFont="1" applyFill="1" applyBorder="1" applyAlignment="1">
      <alignment horizontal="left" vertical="top" wrapText="1"/>
    </xf>
    <xf numFmtId="0" fontId="13" fillId="3" borderId="4" xfId="4" applyFont="1" applyFill="1" applyBorder="1" applyAlignment="1">
      <alignment vertical="center" wrapText="1"/>
    </xf>
    <xf numFmtId="0" fontId="13" fillId="3" borderId="4" xfId="4" applyFont="1" applyFill="1" applyBorder="1" applyAlignment="1">
      <alignment horizontal="center" vertical="center" wrapText="1"/>
    </xf>
    <xf numFmtId="0" fontId="13" fillId="3" borderId="1" xfId="4" quotePrefix="1" applyFont="1" applyFill="1" applyBorder="1" applyAlignment="1">
      <alignment horizontal="left" vertical="top" wrapText="1"/>
    </xf>
    <xf numFmtId="0" fontId="12" fillId="19" borderId="23" xfId="1" applyFont="1" applyFill="1" applyBorder="1" applyAlignment="1">
      <alignment horizontal="center" vertical="center" wrapText="1"/>
    </xf>
    <xf numFmtId="0" fontId="12" fillId="3" borderId="33" xfId="4" applyFont="1" applyFill="1" applyBorder="1" applyAlignment="1">
      <alignment vertical="center" wrapText="1"/>
    </xf>
    <xf numFmtId="0" fontId="12" fillId="3" borderId="48" xfId="4" applyFont="1" applyFill="1" applyBorder="1" applyAlignment="1">
      <alignment vertical="center" wrapText="1"/>
    </xf>
    <xf numFmtId="0" fontId="12" fillId="3" borderId="13" xfId="4" applyFont="1" applyFill="1" applyBorder="1" applyAlignment="1">
      <alignment vertical="center" wrapText="1"/>
    </xf>
    <xf numFmtId="0" fontId="13" fillId="0" borderId="1" xfId="1" applyFont="1" applyBorder="1" applyAlignment="1">
      <alignment horizontal="center" vertical="center" wrapText="1"/>
    </xf>
    <xf numFmtId="0" fontId="13" fillId="0" borderId="1" xfId="4" applyFont="1" applyBorder="1" applyAlignment="1">
      <alignment horizontal="center" vertical="center" wrapText="1"/>
    </xf>
    <xf numFmtId="0" fontId="13" fillId="0" borderId="1" xfId="4" applyFont="1" applyBorder="1" applyAlignment="1">
      <alignment vertical="center" wrapText="1"/>
    </xf>
    <xf numFmtId="49" fontId="13" fillId="0" borderId="1" xfId="4" applyNumberFormat="1" applyFont="1" applyBorder="1" applyAlignment="1">
      <alignment horizontal="center" vertical="center" wrapText="1"/>
    </xf>
    <xf numFmtId="14" fontId="13" fillId="0" borderId="1" xfId="4" applyNumberFormat="1" applyFont="1" applyBorder="1" applyAlignment="1">
      <alignment horizontal="center" vertical="center" wrapText="1"/>
    </xf>
    <xf numFmtId="14" fontId="13" fillId="0" borderId="1" xfId="4" applyNumberFormat="1" applyFont="1" applyBorder="1" applyAlignment="1">
      <alignment horizontal="left" vertical="top" wrapText="1"/>
    </xf>
    <xf numFmtId="0" fontId="2" fillId="0" borderId="1" xfId="4" applyBorder="1" applyAlignment="1">
      <alignment horizontal="center" vertical="center" wrapText="1"/>
    </xf>
    <xf numFmtId="6" fontId="2" fillId="0" borderId="1" xfId="4" applyNumberFormat="1" applyBorder="1" applyAlignment="1">
      <alignment vertical="center" wrapText="1"/>
    </xf>
    <xf numFmtId="0" fontId="2" fillId="0" borderId="1" xfId="4" applyBorder="1" applyAlignment="1">
      <alignment vertical="center" wrapText="1"/>
    </xf>
    <xf numFmtId="9" fontId="2" fillId="0" borderId="1" xfId="4" applyNumberFormat="1" applyBorder="1" applyAlignment="1">
      <alignment vertical="center" wrapText="1"/>
    </xf>
    <xf numFmtId="0" fontId="13" fillId="0" borderId="2" xfId="1" applyFont="1" applyBorder="1" applyAlignment="1">
      <alignment horizontal="center" vertical="center" wrapText="1"/>
    </xf>
    <xf numFmtId="0" fontId="13" fillId="0" borderId="2" xfId="4" applyFont="1" applyBorder="1" applyAlignment="1">
      <alignment horizontal="center" vertical="center" wrapText="1"/>
    </xf>
    <xf numFmtId="0" fontId="13" fillId="0" borderId="2" xfId="4" applyFont="1" applyBorder="1" applyAlignment="1">
      <alignment vertical="center" wrapText="1"/>
    </xf>
    <xf numFmtId="49" fontId="13" fillId="0" borderId="2" xfId="4" applyNumberFormat="1" applyFont="1" applyBorder="1" applyAlignment="1">
      <alignment horizontal="center" vertical="center" wrapText="1"/>
    </xf>
    <xf numFmtId="14" fontId="13" fillId="0" borderId="2" xfId="4" applyNumberFormat="1" applyFont="1" applyBorder="1" applyAlignment="1">
      <alignment horizontal="center" vertical="center" wrapText="1"/>
    </xf>
    <xf numFmtId="14" fontId="13" fillId="0" borderId="2" xfId="4" applyNumberFormat="1" applyFont="1" applyBorder="1" applyAlignment="1">
      <alignment horizontal="left" vertical="top" wrapText="1"/>
    </xf>
    <xf numFmtId="0" fontId="2" fillId="0" borderId="2" xfId="4" applyBorder="1" applyAlignment="1">
      <alignment horizontal="center" vertical="center" wrapText="1"/>
    </xf>
    <xf numFmtId="6" fontId="2" fillId="0" borderId="2" xfId="4" applyNumberFormat="1" applyBorder="1" applyAlignment="1">
      <alignment vertical="center" wrapText="1"/>
    </xf>
    <xf numFmtId="0" fontId="2" fillId="0" borderId="2" xfId="4" applyBorder="1" applyAlignment="1">
      <alignment vertical="center" wrapText="1"/>
    </xf>
    <xf numFmtId="9" fontId="2" fillId="0" borderId="2" xfId="4" applyNumberFormat="1" applyBorder="1" applyAlignment="1">
      <alignment vertical="center" wrapText="1"/>
    </xf>
    <xf numFmtId="0" fontId="13" fillId="0" borderId="4" xfId="1" applyFont="1" applyBorder="1" applyAlignment="1">
      <alignment horizontal="center" vertical="center" wrapText="1"/>
    </xf>
    <xf numFmtId="0" fontId="13" fillId="0" borderId="4" xfId="4" applyFont="1" applyBorder="1" applyAlignment="1">
      <alignment horizontal="center" vertical="center" wrapText="1"/>
    </xf>
    <xf numFmtId="0" fontId="13" fillId="0" borderId="4" xfId="4" applyFont="1" applyBorder="1" applyAlignment="1">
      <alignment vertical="center" wrapText="1"/>
    </xf>
    <xf numFmtId="49" fontId="13" fillId="0" borderId="4" xfId="4" applyNumberFormat="1" applyFont="1" applyBorder="1" applyAlignment="1">
      <alignment horizontal="center" vertical="center" wrapText="1"/>
    </xf>
    <xf numFmtId="14" fontId="13" fillId="0" borderId="4" xfId="4" applyNumberFormat="1" applyFont="1" applyBorder="1" applyAlignment="1">
      <alignment horizontal="center" vertical="center" wrapText="1"/>
    </xf>
    <xf numFmtId="14" fontId="13" fillId="0" borderId="4" xfId="4" applyNumberFormat="1" applyFont="1" applyBorder="1" applyAlignment="1">
      <alignment horizontal="left" vertical="top" wrapText="1"/>
    </xf>
    <xf numFmtId="0" fontId="2" fillId="0" borderId="4" xfId="4" applyBorder="1" applyAlignment="1">
      <alignment horizontal="center" vertical="center" wrapText="1"/>
    </xf>
    <xf numFmtId="6" fontId="2" fillId="0" borderId="4" xfId="4" applyNumberFormat="1" applyBorder="1" applyAlignment="1">
      <alignment vertical="center" wrapText="1"/>
    </xf>
    <xf numFmtId="0" fontId="2" fillId="0" borderId="4" xfId="4" applyBorder="1" applyAlignment="1">
      <alignment vertical="center" wrapText="1"/>
    </xf>
    <xf numFmtId="9" fontId="2" fillId="0" borderId="4" xfId="4" applyNumberFormat="1" applyBorder="1" applyAlignment="1">
      <alignment vertical="center" wrapText="1"/>
    </xf>
    <xf numFmtId="0" fontId="16" fillId="0" borderId="1" xfId="2" applyFont="1" applyBorder="1" applyAlignment="1">
      <alignment vertical="center" wrapText="1"/>
    </xf>
    <xf numFmtId="14" fontId="16" fillId="0" borderId="1" xfId="2" applyNumberFormat="1" applyFont="1" applyBorder="1" applyAlignment="1">
      <alignment vertical="center" wrapText="1"/>
    </xf>
    <xf numFmtId="0" fontId="16" fillId="0" borderId="1" xfId="2" applyFont="1" applyBorder="1" applyAlignment="1">
      <alignment horizontal="center" vertical="center" wrapText="1"/>
    </xf>
    <xf numFmtId="0" fontId="16" fillId="0" borderId="7" xfId="2" applyFont="1" applyBorder="1" applyAlignment="1">
      <alignment vertical="center" wrapText="1"/>
    </xf>
    <xf numFmtId="0" fontId="16" fillId="0" borderId="2" xfId="2" applyFont="1" applyBorder="1" applyAlignment="1">
      <alignment vertical="center" wrapText="1"/>
    </xf>
    <xf numFmtId="14" fontId="16" fillId="0" borderId="2" xfId="2" applyNumberFormat="1" applyFont="1" applyBorder="1" applyAlignment="1">
      <alignment vertical="center" wrapText="1"/>
    </xf>
    <xf numFmtId="0" fontId="20" fillId="3" borderId="2" xfId="4" applyFont="1" applyFill="1" applyBorder="1" applyAlignment="1">
      <alignment vertical="center" wrapText="1"/>
    </xf>
    <xf numFmtId="0" fontId="16" fillId="0" borderId="2" xfId="2" applyFont="1" applyBorder="1" applyAlignment="1">
      <alignment horizontal="center" vertical="center" wrapText="1"/>
    </xf>
    <xf numFmtId="0" fontId="16" fillId="0" borderId="74" xfId="2" applyFont="1" applyBorder="1" applyAlignment="1">
      <alignment vertical="center" wrapText="1"/>
    </xf>
    <xf numFmtId="2" fontId="0" fillId="0" borderId="0" xfId="2" applyNumberFormat="1" applyFont="1" applyAlignment="1">
      <alignment vertical="center" wrapText="1"/>
    </xf>
    <xf numFmtId="0" fontId="1" fillId="0" borderId="75" xfId="2" applyBorder="1" applyAlignment="1">
      <alignment vertical="center" wrapText="1"/>
    </xf>
    <xf numFmtId="0" fontId="1" fillId="0" borderId="77" xfId="2" applyBorder="1" applyAlignment="1">
      <alignment vertical="center" wrapText="1"/>
    </xf>
    <xf numFmtId="0" fontId="1" fillId="0" borderId="79" xfId="2" applyBorder="1" applyAlignment="1">
      <alignment vertical="center" wrapText="1"/>
    </xf>
    <xf numFmtId="0" fontId="1" fillId="0" borderId="0" xfId="2" applyAlignment="1">
      <alignment vertical="center" wrapText="1"/>
    </xf>
    <xf numFmtId="0" fontId="25" fillId="0" borderId="76" xfId="2" applyFont="1" applyBorder="1" applyAlignment="1">
      <alignment vertical="center"/>
    </xf>
    <xf numFmtId="0" fontId="25" fillId="0" borderId="75" xfId="2" applyFont="1" applyBorder="1" applyAlignment="1">
      <alignment vertical="center"/>
    </xf>
    <xf numFmtId="0" fontId="25" fillId="0" borderId="77" xfId="2" applyFont="1" applyBorder="1" applyAlignment="1">
      <alignment vertical="center"/>
    </xf>
    <xf numFmtId="0" fontId="19" fillId="0" borderId="0" xfId="0" applyFont="1" applyAlignment="1">
      <alignment vertical="top"/>
    </xf>
    <xf numFmtId="0" fontId="1" fillId="0" borderId="76" xfId="2" applyBorder="1" applyAlignment="1">
      <alignment vertical="center"/>
    </xf>
    <xf numFmtId="0" fontId="1" fillId="0" borderId="78" xfId="2" applyBorder="1" applyAlignment="1">
      <alignment vertical="center"/>
    </xf>
    <xf numFmtId="0" fontId="73" fillId="42" borderId="1" xfId="0" applyFont="1" applyFill="1" applyBorder="1" applyAlignment="1">
      <alignment horizontal="center" vertical="center"/>
    </xf>
    <xf numFmtId="0" fontId="0" fillId="0" borderId="0" xfId="0" applyAlignment="1">
      <alignment horizontal="left" vertical="center"/>
    </xf>
    <xf numFmtId="0" fontId="119" fillId="0" borderId="1" xfId="0" applyFont="1" applyBorder="1" applyAlignment="1">
      <alignment horizontal="center" vertical="center"/>
    </xf>
    <xf numFmtId="49" fontId="119" fillId="0" borderId="1" xfId="0" applyNumberFormat="1" applyFont="1" applyBorder="1" applyAlignment="1">
      <alignment horizontal="center" vertical="center"/>
    </xf>
    <xf numFmtId="0" fontId="2" fillId="0" borderId="0" xfId="0" applyFont="1" applyAlignment="1">
      <alignment horizontal="left" vertical="center"/>
    </xf>
    <xf numFmtId="49" fontId="73" fillId="42" borderId="1" xfId="0" applyNumberFormat="1" applyFont="1" applyFill="1" applyBorder="1" applyAlignment="1">
      <alignment horizontal="center" vertical="center"/>
    </xf>
    <xf numFmtId="49" fontId="19" fillId="0" borderId="0" xfId="0" applyNumberFormat="1" applyFont="1" applyAlignment="1">
      <alignment vertical="top"/>
    </xf>
    <xf numFmtId="49" fontId="0" fillId="0" borderId="0" xfId="0" applyNumberFormat="1">
      <alignment vertical="top" wrapText="1"/>
    </xf>
    <xf numFmtId="49" fontId="2" fillId="0" borderId="0" xfId="0" applyNumberFormat="1" applyFont="1">
      <alignment vertical="top" wrapText="1"/>
    </xf>
    <xf numFmtId="0" fontId="70" fillId="31" borderId="1" xfId="0" applyFont="1" applyFill="1" applyBorder="1" applyAlignment="1">
      <alignment horizontal="center" vertical="center"/>
    </xf>
    <xf numFmtId="167" fontId="18" fillId="29" borderId="1" xfId="0" applyNumberFormat="1" applyFont="1" applyFill="1" applyBorder="1" applyAlignment="1">
      <alignment horizontal="center" vertical="center"/>
    </xf>
    <xf numFmtId="49" fontId="18" fillId="29" borderId="1" xfId="0" applyNumberFormat="1" applyFont="1" applyFill="1" applyBorder="1" applyAlignment="1">
      <alignment horizontal="center" vertical="center"/>
    </xf>
    <xf numFmtId="0" fontId="88" fillId="0" borderId="1" xfId="0" applyFont="1" applyBorder="1" applyAlignment="1">
      <alignment horizontal="center" vertical="center"/>
    </xf>
    <xf numFmtId="0" fontId="89" fillId="0" borderId="1" xfId="0" applyFont="1" applyBorder="1" applyAlignment="1">
      <alignment horizontal="center" vertical="center"/>
    </xf>
    <xf numFmtId="0" fontId="70" fillId="0" borderId="1" xfId="0" applyFont="1" applyBorder="1" applyAlignment="1">
      <alignment horizontal="center" vertical="center"/>
    </xf>
    <xf numFmtId="0" fontId="118" fillId="28" borderId="10" xfId="4" applyFont="1" applyFill="1" applyBorder="1" applyAlignment="1">
      <alignment horizontal="center" vertical="center" wrapText="1"/>
    </xf>
    <xf numFmtId="0" fontId="118" fillId="28" borderId="11" xfId="4" applyFont="1" applyFill="1" applyBorder="1" applyAlignment="1">
      <alignment horizontal="center" vertical="center" wrapText="1"/>
    </xf>
    <xf numFmtId="0" fontId="118" fillId="28" borderId="12" xfId="4" applyFont="1" applyFill="1" applyBorder="1" applyAlignment="1">
      <alignment horizontal="center" vertical="center" wrapText="1"/>
    </xf>
    <xf numFmtId="0" fontId="117" fillId="21" borderId="32" xfId="4" applyFont="1" applyFill="1" applyBorder="1" applyAlignment="1">
      <alignment horizontal="center" vertical="center" wrapText="1"/>
    </xf>
    <xf numFmtId="0" fontId="117" fillId="21" borderId="33" xfId="4" applyFont="1" applyFill="1" applyBorder="1" applyAlignment="1">
      <alignment horizontal="center" vertical="center" wrapText="1"/>
    </xf>
    <xf numFmtId="0" fontId="117" fillId="21" borderId="0" xfId="4" applyFont="1" applyFill="1" applyAlignment="1">
      <alignment horizontal="center" vertical="center" wrapText="1"/>
    </xf>
    <xf numFmtId="0" fontId="117" fillId="21" borderId="48" xfId="4" applyFont="1" applyFill="1" applyBorder="1" applyAlignment="1">
      <alignment horizontal="center" vertical="center" wrapText="1"/>
    </xf>
    <xf numFmtId="0" fontId="105" fillId="31" borderId="32" xfId="4" applyFont="1" applyFill="1" applyBorder="1" applyAlignment="1">
      <alignment horizontal="center" vertical="center" wrapText="1"/>
    </xf>
    <xf numFmtId="0" fontId="105" fillId="31" borderId="33" xfId="4" applyFont="1" applyFill="1" applyBorder="1" applyAlignment="1">
      <alignment horizontal="center" vertical="center" wrapText="1"/>
    </xf>
    <xf numFmtId="0" fontId="105" fillId="31" borderId="0" xfId="4" applyFont="1" applyFill="1" applyAlignment="1">
      <alignment horizontal="center" vertical="center" wrapText="1"/>
    </xf>
    <xf numFmtId="0" fontId="105" fillId="31" borderId="48" xfId="4" applyFont="1" applyFill="1" applyBorder="1" applyAlignment="1">
      <alignment horizontal="center" vertical="center" wrapText="1"/>
    </xf>
    <xf numFmtId="0" fontId="105" fillId="31" borderId="34" xfId="4" applyFont="1" applyFill="1" applyBorder="1" applyAlignment="1">
      <alignment horizontal="center" vertical="center" wrapText="1"/>
    </xf>
    <xf numFmtId="0" fontId="105" fillId="31" borderId="29" xfId="4" applyFont="1" applyFill="1" applyBorder="1" applyAlignment="1">
      <alignment horizontal="center" vertical="center" wrapText="1"/>
    </xf>
    <xf numFmtId="0" fontId="105" fillId="31" borderId="13" xfId="4" applyFont="1" applyFill="1" applyBorder="1" applyAlignment="1">
      <alignment horizontal="center" vertical="center" wrapText="1"/>
    </xf>
    <xf numFmtId="0" fontId="104" fillId="20" borderId="31" xfId="4" applyFont="1" applyFill="1" applyBorder="1" applyAlignment="1">
      <alignment horizontal="center" vertical="center" wrapText="1"/>
    </xf>
    <xf numFmtId="0" fontId="104" fillId="20" borderId="32" xfId="4" applyFont="1" applyFill="1" applyBorder="1" applyAlignment="1">
      <alignment horizontal="center" vertical="center" wrapText="1"/>
    </xf>
    <xf numFmtId="0" fontId="104" fillId="20" borderId="33" xfId="4" applyFont="1" applyFill="1" applyBorder="1" applyAlignment="1">
      <alignment horizontal="center" vertical="center" wrapText="1"/>
    </xf>
    <xf numFmtId="0" fontId="104" fillId="20" borderId="47" xfId="4" applyFont="1" applyFill="1" applyBorder="1" applyAlignment="1">
      <alignment horizontal="center" vertical="center" wrapText="1"/>
    </xf>
    <xf numFmtId="0" fontId="104" fillId="20" borderId="41" xfId="4" applyFont="1" applyFill="1" applyBorder="1" applyAlignment="1">
      <alignment horizontal="center" vertical="center" wrapText="1"/>
    </xf>
    <xf numFmtId="0" fontId="104" fillId="20" borderId="50" xfId="4" applyFont="1" applyFill="1" applyBorder="1" applyAlignment="1">
      <alignment horizontal="center" vertical="center" wrapText="1"/>
    </xf>
    <xf numFmtId="0" fontId="117" fillId="21" borderId="30" xfId="4" applyFont="1" applyFill="1" applyBorder="1" applyAlignment="1">
      <alignment horizontal="center" vertical="center" wrapText="1"/>
    </xf>
    <xf numFmtId="0" fontId="117" fillId="21" borderId="13" xfId="4" applyFont="1" applyFill="1" applyBorder="1" applyAlignment="1">
      <alignment horizontal="center" vertical="center" wrapText="1"/>
    </xf>
    <xf numFmtId="0" fontId="105" fillId="31" borderId="30" xfId="4" applyFont="1" applyFill="1" applyBorder="1" applyAlignment="1">
      <alignment horizontal="center" vertical="center" wrapText="1"/>
    </xf>
    <xf numFmtId="0" fontId="106" fillId="19" borderId="8" xfId="4" applyFont="1" applyFill="1" applyBorder="1" applyAlignment="1">
      <alignment horizontal="center" vertical="center" wrapText="1"/>
    </xf>
    <xf numFmtId="0" fontId="106" fillId="19" borderId="67" xfId="4" applyFont="1" applyFill="1" applyBorder="1" applyAlignment="1">
      <alignment horizontal="center" vertical="center" wrapText="1"/>
    </xf>
    <xf numFmtId="0" fontId="102" fillId="0" borderId="66" xfId="4" applyFont="1" applyBorder="1" applyAlignment="1">
      <alignment horizontal="center" vertical="center" wrapText="1"/>
    </xf>
    <xf numFmtId="0" fontId="102" fillId="0" borderId="15" xfId="4" applyFont="1" applyBorder="1" applyAlignment="1">
      <alignment horizontal="center" vertical="center" wrapText="1"/>
    </xf>
    <xf numFmtId="0" fontId="118" fillId="28" borderId="62" xfId="4" applyFont="1" applyFill="1" applyBorder="1" applyAlignment="1">
      <alignment horizontal="center" vertical="center" wrapText="1"/>
    </xf>
    <xf numFmtId="0" fontId="118" fillId="28" borderId="63" xfId="4" applyFont="1" applyFill="1" applyBorder="1" applyAlignment="1">
      <alignment horizontal="center" vertical="center" wrapText="1"/>
    </xf>
    <xf numFmtId="0" fontId="118" fillId="28" borderId="64" xfId="4" applyFont="1" applyFill="1" applyBorder="1" applyAlignment="1">
      <alignment horizontal="center" vertical="center" wrapText="1"/>
    </xf>
    <xf numFmtId="0" fontId="105" fillId="21" borderId="49" xfId="4" applyFont="1" applyFill="1" applyBorder="1" applyAlignment="1">
      <alignment horizontal="center" vertical="center" wrapText="1"/>
    </xf>
    <xf numFmtId="0" fontId="105" fillId="21" borderId="56" xfId="4" applyFont="1" applyFill="1" applyBorder="1" applyAlignment="1">
      <alignment horizontal="center" vertical="center" wrapText="1"/>
    </xf>
    <xf numFmtId="0" fontId="102" fillId="0" borderId="4" xfId="4" applyFont="1" applyBorder="1" applyAlignment="1">
      <alignment horizontal="center" vertical="center" wrapText="1"/>
    </xf>
    <xf numFmtId="0" fontId="102" fillId="0" borderId="2" xfId="4" applyFont="1" applyBorder="1" applyAlignment="1">
      <alignment horizontal="center" vertical="center" wrapText="1"/>
    </xf>
    <xf numFmtId="0" fontId="102" fillId="10" borderId="49" xfId="4" applyFont="1" applyFill="1" applyBorder="1" applyAlignment="1">
      <alignment horizontal="center" vertical="center" wrapText="1"/>
    </xf>
    <xf numFmtId="0" fontId="102" fillId="10" borderId="56" xfId="4" applyFont="1" applyFill="1" applyBorder="1" applyAlignment="1">
      <alignment horizontal="center" vertical="center" wrapText="1"/>
    </xf>
    <xf numFmtId="0" fontId="104" fillId="20" borderId="1" xfId="4" applyFont="1" applyFill="1" applyBorder="1" applyAlignment="1">
      <alignment horizontal="center" vertical="center" wrapText="1"/>
    </xf>
    <xf numFmtId="0" fontId="106" fillId="21" borderId="34" xfId="4" applyFont="1" applyFill="1" applyBorder="1" applyAlignment="1">
      <alignment horizontal="center" vertical="center" wrapText="1"/>
    </xf>
    <xf numFmtId="0" fontId="106" fillId="21" borderId="0" xfId="4" applyFont="1" applyFill="1" applyAlignment="1">
      <alignment horizontal="center" vertical="center" wrapText="1"/>
    </xf>
    <xf numFmtId="0" fontId="106" fillId="21" borderId="29" xfId="4" applyFont="1" applyFill="1" applyBorder="1" applyAlignment="1">
      <alignment horizontal="center" vertical="center" wrapText="1"/>
    </xf>
    <xf numFmtId="0" fontId="106" fillId="21" borderId="30" xfId="4" applyFont="1" applyFill="1" applyBorder="1" applyAlignment="1">
      <alignment horizontal="center" vertical="center" wrapText="1"/>
    </xf>
    <xf numFmtId="0" fontId="104" fillId="0" borderId="31" xfId="4" applyFont="1" applyBorder="1" applyAlignment="1">
      <alignment horizontal="center" vertical="center" wrapText="1"/>
    </xf>
    <xf numFmtId="0" fontId="104" fillId="0" borderId="33" xfId="4" applyFont="1" applyBorder="1" applyAlignment="1">
      <alignment horizontal="center" vertical="center" wrapText="1"/>
    </xf>
    <xf numFmtId="0" fontId="104" fillId="0" borderId="29" xfId="4" applyFont="1" applyBorder="1" applyAlignment="1">
      <alignment horizontal="center" vertical="center" wrapText="1"/>
    </xf>
    <xf numFmtId="0" fontId="104" fillId="0" borderId="13" xfId="4" applyFont="1" applyBorder="1" applyAlignment="1">
      <alignment horizontal="center" vertical="center" wrapText="1"/>
    </xf>
    <xf numFmtId="0" fontId="106" fillId="19" borderId="1" xfId="4" applyFont="1" applyFill="1" applyBorder="1" applyAlignment="1">
      <alignment horizontal="center" vertical="center" wrapText="1"/>
    </xf>
    <xf numFmtId="0" fontId="104" fillId="20" borderId="34" xfId="4" applyFont="1" applyFill="1" applyBorder="1" applyAlignment="1">
      <alignment horizontal="center" vertical="center" wrapText="1"/>
    </xf>
    <xf numFmtId="0" fontId="104" fillId="20" borderId="0" xfId="4" applyFont="1" applyFill="1" applyAlignment="1">
      <alignment horizontal="center" vertical="center" wrapText="1"/>
    </xf>
    <xf numFmtId="0" fontId="104" fillId="20" borderId="48" xfId="4" applyFont="1" applyFill="1" applyBorder="1" applyAlignment="1">
      <alignment horizontal="center" vertical="center" wrapText="1"/>
    </xf>
    <xf numFmtId="0" fontId="79" fillId="2" borderId="0" xfId="4" applyFont="1" applyFill="1" applyAlignment="1">
      <alignment horizontal="center" vertical="center" wrapText="1"/>
    </xf>
    <xf numFmtId="0" fontId="79" fillId="2" borderId="30" xfId="4" applyFont="1" applyFill="1" applyBorder="1" applyAlignment="1">
      <alignment horizontal="center" vertical="center" wrapText="1"/>
    </xf>
    <xf numFmtId="0" fontId="80" fillId="19" borderId="35" xfId="4" applyFont="1" applyFill="1" applyBorder="1" applyAlignment="1">
      <alignment horizontal="center" vertical="center" wrapText="1"/>
    </xf>
    <xf numFmtId="0" fontId="80" fillId="19" borderId="0" xfId="4" applyFont="1" applyFill="1" applyAlignment="1">
      <alignment horizontal="center" vertical="center" wrapText="1"/>
    </xf>
    <xf numFmtId="0" fontId="84" fillId="19" borderId="35" xfId="4" applyFont="1" applyFill="1" applyBorder="1" applyAlignment="1">
      <alignment horizontal="center" vertical="center" wrapText="1"/>
    </xf>
    <xf numFmtId="0" fontId="84" fillId="19" borderId="0" xfId="4" applyFont="1" applyFill="1" applyAlignment="1">
      <alignment horizontal="center" vertical="center" wrapText="1"/>
    </xf>
    <xf numFmtId="0" fontId="117" fillId="21" borderId="31" xfId="4" applyFont="1" applyFill="1" applyBorder="1" applyAlignment="1">
      <alignment horizontal="center" vertical="center" wrapText="1"/>
    </xf>
    <xf numFmtId="0" fontId="117" fillId="21" borderId="29" xfId="4" applyFont="1" applyFill="1" applyBorder="1" applyAlignment="1">
      <alignment horizontal="center" vertical="center" wrapText="1"/>
    </xf>
    <xf numFmtId="0" fontId="2" fillId="31" borderId="31" xfId="4" applyFill="1" applyBorder="1" applyAlignment="1">
      <alignment horizontal="center" vertical="top" wrapText="1"/>
    </xf>
    <xf numFmtId="0" fontId="2" fillId="31" borderId="32" xfId="4" applyFill="1" applyBorder="1" applyAlignment="1">
      <alignment horizontal="center" vertical="top" wrapText="1"/>
    </xf>
    <xf numFmtId="0" fontId="2" fillId="31" borderId="33" xfId="4" applyFill="1" applyBorder="1" applyAlignment="1">
      <alignment horizontal="center" vertical="top" wrapText="1"/>
    </xf>
    <xf numFmtId="0" fontId="2" fillId="31" borderId="34" xfId="4" applyFill="1" applyBorder="1" applyAlignment="1">
      <alignment horizontal="center" vertical="top" wrapText="1"/>
    </xf>
    <xf numFmtId="0" fontId="2" fillId="31" borderId="0" xfId="4" applyFill="1" applyAlignment="1">
      <alignment horizontal="center" vertical="top" wrapText="1"/>
    </xf>
    <xf numFmtId="0" fontId="2" fillId="31" borderId="48" xfId="4" applyFill="1" applyBorder="1" applyAlignment="1">
      <alignment horizontal="center" vertical="top" wrapText="1"/>
    </xf>
    <xf numFmtId="0" fontId="2" fillId="31" borderId="29" xfId="4" applyFill="1" applyBorder="1" applyAlignment="1">
      <alignment horizontal="center" vertical="top" wrapText="1"/>
    </xf>
    <xf numFmtId="0" fontId="2" fillId="31" borderId="30" xfId="4" applyFill="1" applyBorder="1" applyAlignment="1">
      <alignment horizontal="center" vertical="top" wrapText="1"/>
    </xf>
    <xf numFmtId="0" fontId="2" fillId="31" borderId="13" xfId="4" applyFill="1" applyBorder="1" applyAlignment="1">
      <alignment horizontal="center" vertical="top" wrapText="1"/>
    </xf>
    <xf numFmtId="0" fontId="103" fillId="19" borderId="31" xfId="0" applyFont="1" applyFill="1" applyBorder="1" applyAlignment="1">
      <alignment horizontal="center" vertical="center" wrapText="1"/>
    </xf>
    <xf numFmtId="0" fontId="103" fillId="19" borderId="32" xfId="0" applyFont="1" applyFill="1" applyBorder="1" applyAlignment="1">
      <alignment horizontal="center" vertical="center" wrapText="1"/>
    </xf>
    <xf numFmtId="0" fontId="103" fillId="19" borderId="34" xfId="0" applyFont="1" applyFill="1" applyBorder="1" applyAlignment="1">
      <alignment horizontal="center" vertical="center" wrapText="1"/>
    </xf>
    <xf numFmtId="0" fontId="103" fillId="19" borderId="0" xfId="0" applyFont="1" applyFill="1" applyAlignment="1">
      <alignment horizontal="center" vertical="center" wrapText="1"/>
    </xf>
    <xf numFmtId="0" fontId="2" fillId="31" borderId="20" xfId="4" applyFill="1" applyBorder="1" applyAlignment="1">
      <alignment horizontal="center" vertical="top" wrapText="1"/>
    </xf>
    <xf numFmtId="0" fontId="2" fillId="31" borderId="35" xfId="4" applyFill="1" applyBorder="1" applyAlignment="1">
      <alignment horizontal="center" vertical="top" wrapText="1"/>
    </xf>
    <xf numFmtId="0" fontId="2" fillId="31" borderId="46" xfId="4" applyFill="1" applyBorder="1" applyAlignment="1">
      <alignment horizontal="center" vertical="top" wrapText="1"/>
    </xf>
    <xf numFmtId="0" fontId="117" fillId="21" borderId="32" xfId="0" applyFont="1" applyFill="1" applyBorder="1" applyAlignment="1">
      <alignment horizontal="center" vertical="center" wrapText="1"/>
    </xf>
    <xf numFmtId="0" fontId="117" fillId="21" borderId="33" xfId="0" applyFont="1" applyFill="1" applyBorder="1" applyAlignment="1">
      <alignment horizontal="center" vertical="center" wrapText="1"/>
    </xf>
    <xf numFmtId="0" fontId="117" fillId="21" borderId="30" xfId="0" applyFont="1" applyFill="1" applyBorder="1" applyAlignment="1">
      <alignment horizontal="center" vertical="center" wrapText="1"/>
    </xf>
    <xf numFmtId="0" fontId="117" fillId="21" borderId="13" xfId="0" applyFont="1" applyFill="1" applyBorder="1" applyAlignment="1">
      <alignment horizontal="center" vertical="center" wrapText="1"/>
    </xf>
    <xf numFmtId="0" fontId="102" fillId="10" borderId="1" xfId="4" applyFont="1" applyFill="1" applyBorder="1" applyAlignment="1">
      <alignment horizontal="center" vertical="center" wrapText="1"/>
    </xf>
    <xf numFmtId="0" fontId="2" fillId="31" borderId="42" xfId="4" applyFill="1" applyBorder="1" applyAlignment="1">
      <alignment horizontal="center" vertical="top" wrapText="1"/>
    </xf>
    <xf numFmtId="0" fontId="2" fillId="31" borderId="2" xfId="4" applyFill="1" applyBorder="1" applyAlignment="1">
      <alignment horizontal="center" vertical="top" wrapText="1"/>
    </xf>
    <xf numFmtId="0" fontId="2" fillId="31" borderId="72" xfId="4" applyFill="1" applyBorder="1" applyAlignment="1">
      <alignment horizontal="center" vertical="top" wrapText="1"/>
    </xf>
    <xf numFmtId="0" fontId="2" fillId="31" borderId="3" xfId="4" applyFill="1" applyBorder="1" applyAlignment="1">
      <alignment horizontal="center" vertical="top" wrapText="1"/>
    </xf>
    <xf numFmtId="0" fontId="2" fillId="31" borderId="1" xfId="4" applyFill="1" applyBorder="1" applyAlignment="1">
      <alignment horizontal="center" vertical="top" wrapText="1"/>
    </xf>
    <xf numFmtId="0" fontId="2" fillId="31" borderId="18" xfId="4" applyFill="1" applyBorder="1" applyAlignment="1">
      <alignment horizontal="center" vertical="top" wrapText="1"/>
    </xf>
    <xf numFmtId="0" fontId="2" fillId="31" borderId="65" xfId="4" applyFill="1" applyBorder="1" applyAlignment="1">
      <alignment horizontal="center" vertical="top" wrapText="1"/>
    </xf>
    <xf numFmtId="0" fontId="2" fillId="31" borderId="45" xfId="4" applyFill="1" applyBorder="1" applyAlignment="1">
      <alignment horizontal="center" vertical="top" wrapText="1"/>
    </xf>
    <xf numFmtId="0" fontId="2" fillId="31" borderId="55" xfId="4" applyFill="1" applyBorder="1" applyAlignment="1">
      <alignment horizontal="center" vertical="top" wrapText="1"/>
    </xf>
    <xf numFmtId="0" fontId="102" fillId="28" borderId="1" xfId="4" applyFont="1" applyFill="1" applyBorder="1" applyAlignment="1">
      <alignment horizontal="center" vertical="center" wrapText="1"/>
    </xf>
    <xf numFmtId="0" fontId="102" fillId="19" borderId="1" xfId="4" applyFont="1" applyFill="1" applyBorder="1" applyAlignment="1">
      <alignment horizontal="center" vertical="center" wrapText="1"/>
    </xf>
    <xf numFmtId="0" fontId="102" fillId="0" borderId="1" xfId="4" applyFont="1" applyBorder="1" applyAlignment="1">
      <alignment horizontal="center" vertical="center" wrapText="1"/>
    </xf>
    <xf numFmtId="0" fontId="102" fillId="19" borderId="49" xfId="4" applyFont="1" applyFill="1" applyBorder="1" applyAlignment="1">
      <alignment horizontal="center" vertical="center" wrapText="1"/>
    </xf>
    <xf numFmtId="0" fontId="102" fillId="19" borderId="70" xfId="4" applyFont="1" applyFill="1" applyBorder="1" applyAlignment="1">
      <alignment horizontal="center" vertical="center" wrapText="1"/>
    </xf>
    <xf numFmtId="0" fontId="102" fillId="0" borderId="71" xfId="4" applyFont="1" applyBorder="1" applyAlignment="1">
      <alignment horizontal="center" vertical="center" wrapText="1"/>
    </xf>
    <xf numFmtId="0" fontId="105" fillId="31" borderId="8" xfId="4" applyFont="1" applyFill="1" applyBorder="1" applyAlignment="1">
      <alignment horizontal="center" vertical="center" wrapText="1"/>
    </xf>
    <xf numFmtId="0" fontId="105" fillId="31" borderId="67" xfId="4" applyFont="1" applyFill="1" applyBorder="1" applyAlignment="1">
      <alignment horizontal="center" vertical="center" wrapText="1"/>
    </xf>
    <xf numFmtId="0" fontId="105" fillId="31" borderId="35" xfId="4" applyFont="1" applyFill="1" applyBorder="1" applyAlignment="1">
      <alignment horizontal="center" vertical="center" wrapText="1"/>
    </xf>
    <xf numFmtId="0" fontId="105" fillId="31" borderId="46" xfId="4" applyFont="1" applyFill="1" applyBorder="1" applyAlignment="1">
      <alignment horizontal="center" vertical="center" wrapText="1"/>
    </xf>
    <xf numFmtId="0" fontId="105" fillId="21" borderId="1" xfId="4" applyFont="1" applyFill="1" applyBorder="1" applyAlignment="1">
      <alignment horizontal="center" vertical="center" wrapText="1"/>
    </xf>
    <xf numFmtId="0" fontId="117" fillId="21" borderId="14" xfId="4" applyFont="1" applyFill="1" applyBorder="1" applyAlignment="1">
      <alignment horizontal="center" vertical="center" wrapText="1"/>
    </xf>
    <xf numFmtId="0" fontId="117" fillId="21" borderId="15" xfId="4" applyFont="1" applyFill="1" applyBorder="1" applyAlignment="1">
      <alignment horizontal="center" vertical="center" wrapText="1"/>
    </xf>
    <xf numFmtId="0" fontId="117" fillId="21" borderId="0" xfId="0" applyFont="1" applyFill="1" applyAlignment="1">
      <alignment horizontal="center" vertical="center" wrapText="1"/>
    </xf>
    <xf numFmtId="0" fontId="117" fillId="21" borderId="48" xfId="0" applyFont="1" applyFill="1" applyBorder="1" applyAlignment="1">
      <alignment horizontal="center" vertical="center" wrapText="1"/>
    </xf>
    <xf numFmtId="0" fontId="117" fillId="21" borderId="41" xfId="4" applyFont="1" applyFill="1" applyBorder="1" applyAlignment="1">
      <alignment horizontal="center" vertical="center" wrapText="1"/>
    </xf>
    <xf numFmtId="0" fontId="117" fillId="21" borderId="50" xfId="4" applyFont="1" applyFill="1" applyBorder="1" applyAlignment="1">
      <alignment horizontal="center" vertical="center" wrapText="1"/>
    </xf>
    <xf numFmtId="0" fontId="103" fillId="19" borderId="52" xfId="4" applyFont="1" applyFill="1" applyBorder="1" applyAlignment="1">
      <alignment horizontal="center" vertical="center" wrapText="1"/>
    </xf>
    <xf numFmtId="0" fontId="103" fillId="19" borderId="53" xfId="4" applyFont="1" applyFill="1" applyBorder="1" applyAlignment="1">
      <alignment horizontal="center" vertical="center" wrapText="1"/>
    </xf>
    <xf numFmtId="0" fontId="103" fillId="19" borderId="54" xfId="4" applyFont="1" applyFill="1" applyBorder="1" applyAlignment="1">
      <alignment horizontal="center" vertical="center" wrapText="1"/>
    </xf>
    <xf numFmtId="0" fontId="104" fillId="20" borderId="16" xfId="4" applyFont="1" applyFill="1" applyBorder="1" applyAlignment="1">
      <alignment horizontal="center" vertical="center" wrapText="1"/>
    </xf>
    <xf numFmtId="0" fontId="104" fillId="20" borderId="5" xfId="4" applyFont="1" applyFill="1" applyBorder="1" applyAlignment="1">
      <alignment horizontal="center" vertical="center" wrapText="1"/>
    </xf>
    <xf numFmtId="0" fontId="104" fillId="20" borderId="6" xfId="4" applyFont="1" applyFill="1" applyBorder="1" applyAlignment="1">
      <alignment horizontal="center" vertical="center" wrapText="1"/>
    </xf>
    <xf numFmtId="0" fontId="12" fillId="19" borderId="7" xfId="4" applyFont="1" applyFill="1" applyBorder="1" applyAlignment="1">
      <alignment horizontal="left" vertical="center"/>
    </xf>
    <xf numFmtId="0" fontId="12" fillId="19" borderId="28" xfId="4" applyFont="1" applyFill="1" applyBorder="1" applyAlignment="1">
      <alignment horizontal="left" vertical="center"/>
    </xf>
    <xf numFmtId="0" fontId="12" fillId="19" borderId="7" xfId="4" applyFont="1" applyFill="1" applyBorder="1" applyAlignment="1">
      <alignment horizontal="left" vertical="center" wrapText="1"/>
    </xf>
    <xf numFmtId="0" fontId="12" fillId="19" borderId="28" xfId="4" applyFont="1" applyFill="1" applyBorder="1" applyAlignment="1">
      <alignment horizontal="left" vertical="center" wrapText="1"/>
    </xf>
    <xf numFmtId="0" fontId="12" fillId="9" borderId="0" xfId="4" applyFont="1" applyFill="1" applyAlignment="1">
      <alignment horizontal="center" vertical="center" wrapText="1"/>
    </xf>
    <xf numFmtId="0" fontId="34" fillId="20" borderId="0" xfId="0" applyFont="1" applyFill="1" applyAlignment="1">
      <alignment horizontal="center" vertical="center" wrapText="1"/>
    </xf>
    <xf numFmtId="0" fontId="80" fillId="19" borderId="35" xfId="0" applyFont="1" applyFill="1" applyBorder="1" applyAlignment="1">
      <alignment horizontal="center" vertical="center" wrapText="1"/>
    </xf>
    <xf numFmtId="0" fontId="80" fillId="19" borderId="0" xfId="0" applyFont="1" applyFill="1" applyAlignment="1">
      <alignment horizontal="center" vertical="center" wrapText="1"/>
    </xf>
    <xf numFmtId="0" fontId="48" fillId="0" borderId="1" xfId="0" applyFont="1" applyBorder="1" applyAlignment="1">
      <alignment horizontal="center" vertical="center" wrapText="1"/>
    </xf>
    <xf numFmtId="0" fontId="27" fillId="0" borderId="1" xfId="0" applyFont="1" applyBorder="1" applyAlignment="1">
      <alignment horizontal="center" vertical="center" wrapText="1"/>
    </xf>
    <xf numFmtId="0" fontId="70" fillId="0" borderId="1" xfId="0" applyFont="1" applyBorder="1" applyAlignment="1">
      <alignment horizontal="center" vertical="top" wrapText="1"/>
    </xf>
    <xf numFmtId="0" fontId="34" fillId="0" borderId="1" xfId="0" applyFont="1" applyBorder="1" applyAlignment="1">
      <alignment horizontal="center" vertical="center" wrapText="1"/>
    </xf>
    <xf numFmtId="0" fontId="11" fillId="0" borderId="7" xfId="0" applyFont="1" applyBorder="1" applyAlignment="1">
      <alignment horizontal="center" vertical="top" wrapText="1"/>
    </xf>
    <xf numFmtId="0" fontId="11" fillId="0" borderId="28" xfId="0" applyFont="1" applyBorder="1" applyAlignment="1">
      <alignment horizontal="center" vertical="top" wrapText="1"/>
    </xf>
    <xf numFmtId="0" fontId="11" fillId="0" borderId="3" xfId="0" applyFont="1" applyBorder="1" applyAlignment="1">
      <alignment horizontal="center" vertical="top" wrapText="1"/>
    </xf>
    <xf numFmtId="0" fontId="19" fillId="0" borderId="0" xfId="0" applyFont="1" applyAlignment="1">
      <alignment horizontal="left" vertical="top" wrapText="1"/>
    </xf>
    <xf numFmtId="0" fontId="21" fillId="0" borderId="0" xfId="0" applyFont="1" applyAlignment="1">
      <alignment horizontal="left" vertical="top" wrapText="1"/>
    </xf>
    <xf numFmtId="0" fontId="36" fillId="0" borderId="0" xfId="0" applyFont="1">
      <alignment vertical="top" wrapText="1"/>
    </xf>
    <xf numFmtId="0" fontId="45" fillId="0" borderId="0" xfId="0" applyFont="1" applyAlignment="1">
      <alignment horizontal="center" vertical="center" wrapText="1"/>
    </xf>
    <xf numFmtId="0" fontId="34" fillId="0" borderId="0" xfId="0" applyFont="1" applyAlignment="1">
      <alignment horizontal="center" vertical="center" wrapText="1"/>
    </xf>
    <xf numFmtId="0" fontId="47" fillId="0" borderId="0" xfId="0" applyFont="1">
      <alignment vertical="top" wrapText="1"/>
    </xf>
    <xf numFmtId="10" fontId="39" fillId="0" borderId="0" xfId="0" applyNumberFormat="1" applyFont="1" applyAlignment="1">
      <alignment horizontal="right" vertical="top" wrapText="1"/>
    </xf>
    <xf numFmtId="0" fontId="41" fillId="0" borderId="0" xfId="0" applyFont="1">
      <alignment vertical="top" wrapText="1"/>
    </xf>
    <xf numFmtId="0" fontId="35" fillId="0" borderId="0" xfId="0" applyFont="1" applyAlignment="1">
      <alignment horizontal="center" vertical="center" wrapText="1"/>
    </xf>
    <xf numFmtId="0" fontId="39" fillId="0" borderId="0" xfId="0" applyFont="1" applyAlignment="1">
      <alignment horizontal="right" vertical="top" wrapText="1"/>
    </xf>
    <xf numFmtId="0" fontId="42" fillId="0" borderId="0" xfId="0" applyFont="1">
      <alignment vertical="top" wrapText="1"/>
    </xf>
    <xf numFmtId="9" fontId="39" fillId="0" borderId="0" xfId="0" applyNumberFormat="1" applyFont="1" applyAlignment="1">
      <alignment horizontal="right" vertical="top" wrapText="1"/>
    </xf>
    <xf numFmtId="0" fontId="43" fillId="0" borderId="0" xfId="0" applyFont="1">
      <alignment vertical="top" wrapText="1"/>
    </xf>
    <xf numFmtId="0" fontId="73" fillId="21" borderId="41" xfId="0" applyFont="1" applyFill="1" applyBorder="1" applyAlignment="1">
      <alignment horizontal="center" vertical="center"/>
    </xf>
    <xf numFmtId="0" fontId="84" fillId="19" borderId="7" xfId="0" applyFont="1" applyFill="1" applyBorder="1" applyAlignment="1">
      <alignment horizontal="center" vertical="center" wrapText="1"/>
    </xf>
    <xf numFmtId="0" fontId="84" fillId="19" borderId="28" xfId="0" applyFont="1" applyFill="1" applyBorder="1" applyAlignment="1">
      <alignment horizontal="center" vertical="center" wrapText="1"/>
    </xf>
    <xf numFmtId="0" fontId="34" fillId="0" borderId="7" xfId="0" applyFont="1" applyBorder="1" applyAlignment="1">
      <alignment horizontal="center" vertical="center" wrapText="1"/>
    </xf>
    <xf numFmtId="0" fontId="34" fillId="0" borderId="28" xfId="0" applyFont="1" applyBorder="1" applyAlignment="1">
      <alignment horizontal="center" vertical="center" wrapText="1"/>
    </xf>
    <xf numFmtId="0" fontId="34" fillId="0" borderId="3" xfId="0" applyFont="1" applyBorder="1" applyAlignment="1">
      <alignment horizontal="center" vertical="center" wrapText="1"/>
    </xf>
    <xf numFmtId="0" fontId="13" fillId="0" borderId="1" xfId="0" applyFont="1" applyBorder="1">
      <alignment vertical="top" wrapText="1"/>
    </xf>
    <xf numFmtId="10" fontId="58" fillId="0" borderId="1" xfId="0" applyNumberFormat="1" applyFont="1" applyBorder="1">
      <alignment vertical="top" wrapText="1"/>
    </xf>
    <xf numFmtId="0" fontId="60" fillId="0" borderId="1" xfId="0" applyFont="1" applyBorder="1">
      <alignment vertical="top" wrapText="1"/>
    </xf>
    <xf numFmtId="0" fontId="13" fillId="22" borderId="1" xfId="0" applyFont="1" applyFill="1" applyBorder="1">
      <alignment vertical="top" wrapText="1"/>
    </xf>
    <xf numFmtId="0" fontId="58" fillId="22" borderId="1" xfId="0" applyFont="1" applyFill="1" applyBorder="1" applyAlignment="1">
      <alignment horizontal="right" vertical="top" wrapText="1"/>
    </xf>
    <xf numFmtId="0" fontId="62" fillId="22" borderId="1" xfId="0" applyFont="1" applyFill="1" applyBorder="1">
      <alignment vertical="top" wrapText="1"/>
    </xf>
    <xf numFmtId="0" fontId="58" fillId="0" borderId="1" xfId="0" applyFont="1" applyBorder="1">
      <alignment vertical="top" wrapText="1"/>
    </xf>
    <xf numFmtId="9" fontId="58" fillId="22" borderId="1" xfId="0" applyNumberFormat="1" applyFont="1" applyFill="1" applyBorder="1">
      <alignment vertical="top" wrapText="1"/>
    </xf>
    <xf numFmtId="0" fontId="62" fillId="0" borderId="1" xfId="0" applyFont="1" applyBorder="1">
      <alignment vertical="top" wrapText="1"/>
    </xf>
    <xf numFmtId="0" fontId="27" fillId="22" borderId="4" xfId="0" applyFont="1" applyFill="1" applyBorder="1">
      <alignment vertical="top" wrapText="1"/>
    </xf>
    <xf numFmtId="0" fontId="27" fillId="22" borderId="2" xfId="0" applyFont="1" applyFill="1" applyBorder="1">
      <alignment vertical="top" wrapText="1"/>
    </xf>
    <xf numFmtId="0" fontId="62" fillId="22" borderId="4" xfId="0" applyFont="1" applyFill="1" applyBorder="1">
      <alignment vertical="top" wrapText="1"/>
    </xf>
    <xf numFmtId="0" fontId="62" fillId="22" borderId="2" xfId="0" applyFont="1" applyFill="1" applyBorder="1">
      <alignment vertical="top" wrapText="1"/>
    </xf>
    <xf numFmtId="0" fontId="13" fillId="22" borderId="4" xfId="0" applyFont="1" applyFill="1" applyBorder="1">
      <alignment vertical="top" wrapText="1"/>
    </xf>
    <xf numFmtId="0" fontId="13" fillId="22" borderId="2" xfId="0" applyFont="1" applyFill="1" applyBorder="1">
      <alignment vertical="top" wrapText="1"/>
    </xf>
    <xf numFmtId="0" fontId="57" fillId="22" borderId="1" xfId="0" applyFont="1" applyFill="1" applyBorder="1">
      <alignment vertical="top" wrapText="1"/>
    </xf>
    <xf numFmtId="0" fontId="57" fillId="22" borderId="2" xfId="0" applyFont="1" applyFill="1" applyBorder="1">
      <alignment vertical="top" wrapText="1"/>
    </xf>
    <xf numFmtId="0" fontId="58" fillId="22" borderId="2" xfId="0" applyFont="1" applyFill="1" applyBorder="1">
      <alignment vertical="top" wrapText="1"/>
    </xf>
    <xf numFmtId="0" fontId="58" fillId="22" borderId="1" xfId="0" applyFont="1" applyFill="1" applyBorder="1">
      <alignment vertical="top" wrapText="1"/>
    </xf>
    <xf numFmtId="0" fontId="60" fillId="22" borderId="2" xfId="0" applyFont="1" applyFill="1" applyBorder="1">
      <alignment vertical="top" wrapText="1"/>
    </xf>
    <xf numFmtId="0" fontId="60" fillId="22" borderId="1" xfId="0" applyFont="1" applyFill="1" applyBorder="1">
      <alignment vertical="top" wrapText="1"/>
    </xf>
    <xf numFmtId="0" fontId="57" fillId="13" borderId="1" xfId="0" applyFont="1" applyFill="1" applyBorder="1">
      <alignment vertical="top" wrapText="1"/>
    </xf>
    <xf numFmtId="0" fontId="58" fillId="13" borderId="1" xfId="0" applyFont="1" applyFill="1" applyBorder="1">
      <alignment vertical="top" wrapText="1"/>
    </xf>
    <xf numFmtId="0" fontId="60" fillId="13" borderId="1" xfId="0" applyFont="1" applyFill="1" applyBorder="1">
      <alignment vertical="top" wrapText="1"/>
    </xf>
    <xf numFmtId="0" fontId="63" fillId="0" borderId="1" xfId="0" applyFont="1" applyBorder="1">
      <alignment vertical="top" wrapText="1"/>
    </xf>
    <xf numFmtId="0" fontId="73" fillId="12" borderId="0" xfId="0" applyFont="1" applyFill="1" applyAlignment="1">
      <alignment horizontal="center" vertical="center" wrapText="1"/>
    </xf>
    <xf numFmtId="0" fontId="18" fillId="0" borderId="0" xfId="0" applyFont="1" applyAlignment="1">
      <alignment horizontal="center" vertical="center" wrapText="1"/>
    </xf>
    <xf numFmtId="0" fontId="65" fillId="0" borderId="0" xfId="0" applyFont="1" applyAlignment="1">
      <alignment horizontal="left" vertical="center" wrapText="1"/>
    </xf>
    <xf numFmtId="0" fontId="27" fillId="0" borderId="4" xfId="0" applyFont="1" applyBorder="1">
      <alignment vertical="top" wrapText="1"/>
    </xf>
    <xf numFmtId="0" fontId="27" fillId="0" borderId="2" xfId="0" applyFont="1" applyBorder="1">
      <alignment vertical="top" wrapText="1"/>
    </xf>
    <xf numFmtId="0" fontId="60" fillId="0" borderId="4" xfId="0" applyFont="1" applyBorder="1">
      <alignment vertical="top" wrapText="1"/>
    </xf>
    <xf numFmtId="0" fontId="60" fillId="0" borderId="2" xfId="0" applyFont="1" applyBorder="1">
      <alignment vertical="top" wrapText="1"/>
    </xf>
    <xf numFmtId="0" fontId="13" fillId="0" borderId="4" xfId="0" applyFont="1" applyBorder="1">
      <alignment vertical="top" wrapText="1"/>
    </xf>
    <xf numFmtId="0" fontId="13" fillId="0" borderId="2" xfId="0" applyFont="1" applyBorder="1">
      <alignment vertical="top" wrapText="1"/>
    </xf>
    <xf numFmtId="0" fontId="48" fillId="0" borderId="0" xfId="0" applyFont="1" applyAlignment="1">
      <alignment horizontal="center" vertical="center" wrapText="1"/>
    </xf>
    <xf numFmtId="0" fontId="75" fillId="0" borderId="0" xfId="0" applyFont="1" applyAlignment="1">
      <alignment horizontal="center" vertical="center" wrapText="1"/>
    </xf>
    <xf numFmtId="0" fontId="18" fillId="0" borderId="9" xfId="0" applyFont="1" applyBorder="1" applyAlignment="1">
      <alignment horizontal="center" vertical="center" wrapText="1"/>
    </xf>
    <xf numFmtId="0" fontId="72" fillId="24" borderId="0" xfId="0" applyFont="1" applyFill="1" applyAlignment="1">
      <alignment horizontal="center" vertical="center" wrapText="1"/>
    </xf>
    <xf numFmtId="0" fontId="62" fillId="0" borderId="4" xfId="0" applyFont="1" applyBorder="1">
      <alignment vertical="top" wrapText="1"/>
    </xf>
    <xf numFmtId="0" fontId="62" fillId="0" borderId="2" xfId="0" applyFont="1" applyBorder="1">
      <alignment vertical="top" wrapText="1"/>
    </xf>
    <xf numFmtId="0" fontId="60" fillId="22" borderId="4" xfId="0" applyFont="1" applyFill="1" applyBorder="1">
      <alignment vertical="top" wrapText="1"/>
    </xf>
    <xf numFmtId="0" fontId="57" fillId="23" borderId="1" xfId="0" applyFont="1" applyFill="1" applyBorder="1">
      <alignment vertical="top" wrapText="1"/>
    </xf>
    <xf numFmtId="0" fontId="58" fillId="23" borderId="1" xfId="0" applyFont="1" applyFill="1" applyBorder="1">
      <alignment vertical="top" wrapText="1"/>
    </xf>
    <xf numFmtId="0" fontId="60" fillId="23" borderId="1" xfId="0" applyFont="1" applyFill="1" applyBorder="1">
      <alignment vertical="top" wrapText="1"/>
    </xf>
    <xf numFmtId="0" fontId="57" fillId="23" borderId="4" xfId="0" applyFont="1" applyFill="1" applyBorder="1">
      <alignment vertical="top" wrapText="1"/>
    </xf>
    <xf numFmtId="0" fontId="58" fillId="23" borderId="4" xfId="0" applyFont="1" applyFill="1" applyBorder="1">
      <alignment vertical="top" wrapText="1"/>
    </xf>
    <xf numFmtId="0" fontId="60" fillId="23" borderId="4" xfId="0" applyFont="1" applyFill="1" applyBorder="1">
      <alignment vertical="top" wrapText="1"/>
    </xf>
    <xf numFmtId="0" fontId="66" fillId="0" borderId="0" xfId="0" applyFont="1" applyAlignment="1">
      <alignment horizontal="left" vertical="center" wrapText="1"/>
    </xf>
    <xf numFmtId="0" fontId="63" fillId="0" borderId="4" xfId="0" applyFont="1" applyBorder="1" applyAlignment="1">
      <alignment horizontal="center" vertical="top" wrapText="1"/>
    </xf>
    <xf numFmtId="0" fontId="63" fillId="0" borderId="23" xfId="0" applyFont="1" applyBorder="1" applyAlignment="1">
      <alignment horizontal="center" vertical="top" wrapText="1"/>
    </xf>
    <xf numFmtId="0" fontId="63" fillId="0" borderId="2" xfId="0" applyFont="1" applyBorder="1" applyAlignment="1">
      <alignment horizontal="center" vertical="top" wrapText="1"/>
    </xf>
    <xf numFmtId="0" fontId="69" fillId="0" borderId="41" xfId="0" applyFont="1" applyBorder="1" applyAlignment="1">
      <alignment horizontal="center" vertical="center" wrapText="1"/>
    </xf>
    <xf numFmtId="0" fontId="60" fillId="22" borderId="4" xfId="0" applyFont="1" applyFill="1" applyBorder="1" applyAlignment="1">
      <alignment horizontal="center" vertical="top" wrapText="1"/>
    </xf>
    <xf numFmtId="0" fontId="60" fillId="22" borderId="23" xfId="0" applyFont="1" applyFill="1" applyBorder="1" applyAlignment="1">
      <alignment horizontal="center" vertical="top" wrapText="1"/>
    </xf>
    <xf numFmtId="0" fontId="60" fillId="22" borderId="2" xfId="0" applyFont="1" applyFill="1" applyBorder="1" applyAlignment="1">
      <alignment horizontal="center" vertical="top" wrapText="1"/>
    </xf>
    <xf numFmtId="0" fontId="60" fillId="0" borderId="4" xfId="0" applyFont="1" applyBorder="1" applyAlignment="1">
      <alignment horizontal="center" vertical="top" wrapText="1"/>
    </xf>
    <xf numFmtId="0" fontId="60" fillId="0" borderId="23" xfId="0" applyFont="1" applyBorder="1" applyAlignment="1">
      <alignment horizontal="center" vertical="top" wrapText="1"/>
    </xf>
    <xf numFmtId="0" fontId="60" fillId="0" borderId="2" xfId="0" applyFont="1" applyBorder="1" applyAlignment="1">
      <alignment horizontal="center" vertical="top" wrapText="1"/>
    </xf>
    <xf numFmtId="0" fontId="62" fillId="22" borderId="4" xfId="0" applyFont="1" applyFill="1" applyBorder="1" applyAlignment="1">
      <alignment horizontal="center" vertical="top" wrapText="1"/>
    </xf>
    <xf numFmtId="0" fontId="62" fillId="22" borderId="23" xfId="0" applyFont="1" applyFill="1" applyBorder="1" applyAlignment="1">
      <alignment horizontal="center" vertical="top" wrapText="1"/>
    </xf>
    <xf numFmtId="0" fontId="62" fillId="22" borderId="2" xfId="0" applyFont="1" applyFill="1" applyBorder="1" applyAlignment="1">
      <alignment horizontal="center" vertical="top" wrapText="1"/>
    </xf>
    <xf numFmtId="0" fontId="68" fillId="0" borderId="4" xfId="0" applyFont="1" applyBorder="1" applyAlignment="1">
      <alignment horizontal="center" vertical="top" wrapText="1"/>
    </xf>
    <xf numFmtId="0" fontId="68" fillId="0" borderId="23" xfId="0" applyFont="1" applyBorder="1" applyAlignment="1">
      <alignment horizontal="center" vertical="top" wrapText="1"/>
    </xf>
    <xf numFmtId="0" fontId="68" fillId="0" borderId="2" xfId="0" applyFont="1" applyBorder="1" applyAlignment="1">
      <alignment horizontal="center" vertical="top" wrapText="1"/>
    </xf>
    <xf numFmtId="0" fontId="67" fillId="0" borderId="4" xfId="0" applyFont="1" applyBorder="1" applyAlignment="1">
      <alignment horizontal="center" vertical="top" wrapText="1"/>
    </xf>
    <xf numFmtId="0" fontId="67" fillId="0" borderId="23" xfId="0" applyFont="1" applyBorder="1" applyAlignment="1">
      <alignment horizontal="center" vertical="top" wrapText="1"/>
    </xf>
    <xf numFmtId="0" fontId="67" fillId="0" borderId="2" xfId="0" applyFont="1" applyBorder="1" applyAlignment="1">
      <alignment horizontal="center" vertical="top" wrapText="1"/>
    </xf>
    <xf numFmtId="0" fontId="28" fillId="19" borderId="1" xfId="0" applyFont="1" applyFill="1" applyBorder="1" applyAlignment="1">
      <alignment horizontal="center" vertical="center" wrapText="1"/>
    </xf>
    <xf numFmtId="0" fontId="11" fillId="0" borderId="0" xfId="0" applyFont="1" applyAlignment="1">
      <alignment horizontal="center" vertical="top" wrapText="1"/>
    </xf>
    <xf numFmtId="0" fontId="34" fillId="19" borderId="0" xfId="0" applyFont="1" applyFill="1" applyAlignment="1">
      <alignment horizontal="center" vertical="center" wrapText="1"/>
    </xf>
    <xf numFmtId="0" fontId="78" fillId="21" borderId="0" xfId="0" applyFont="1" applyFill="1" applyAlignment="1">
      <alignment horizontal="center" vertical="center" wrapText="1"/>
    </xf>
    <xf numFmtId="0" fontId="71" fillId="0" borderId="1" xfId="0" applyFont="1" applyBorder="1" applyAlignment="1">
      <alignment horizontal="center" vertical="center" wrapText="1"/>
    </xf>
    <xf numFmtId="0" fontId="71" fillId="19" borderId="0" xfId="0" applyFont="1" applyFill="1" applyAlignment="1">
      <alignment horizontal="center" vertical="center" wrapText="1"/>
    </xf>
    <xf numFmtId="0" fontId="11" fillId="0" borderId="0" xfId="0" applyFont="1" applyAlignment="1">
      <alignment horizontal="center" vertical="center" wrapText="1"/>
    </xf>
    <xf numFmtId="0" fontId="80" fillId="19" borderId="7" xfId="0" applyFont="1" applyFill="1" applyBorder="1" applyAlignment="1">
      <alignment horizontal="center" vertical="center" wrapText="1"/>
    </xf>
    <xf numFmtId="0" fontId="80" fillId="19" borderId="28" xfId="0" applyFont="1" applyFill="1" applyBorder="1" applyAlignment="1">
      <alignment horizontal="center" vertical="center" wrapText="1"/>
    </xf>
    <xf numFmtId="0" fontId="12" fillId="19" borderId="1" xfId="0" applyFont="1" applyFill="1" applyBorder="1" applyAlignment="1">
      <alignment horizontal="left" vertical="center"/>
    </xf>
    <xf numFmtId="0" fontId="12" fillId="19" borderId="1" xfId="0" applyFont="1" applyFill="1" applyBorder="1" applyAlignment="1">
      <alignment horizontal="left"/>
    </xf>
    <xf numFmtId="0" fontId="12" fillId="19" borderId="1" xfId="0" applyFont="1" applyFill="1" applyBorder="1" applyAlignment="1">
      <alignment horizontal="left" vertical="center" wrapText="1"/>
    </xf>
    <xf numFmtId="0" fontId="11" fillId="0" borderId="1" xfId="0" applyFont="1" applyBorder="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top"/>
    </xf>
    <xf numFmtId="0" fontId="34" fillId="0" borderId="0" xfId="0" applyFont="1" applyAlignment="1">
      <alignment horizontal="center" vertical="center"/>
    </xf>
    <xf numFmtId="0" fontId="2" fillId="0" borderId="0" xfId="0" applyFont="1" applyAlignment="1">
      <alignment horizontal="center" vertical="top"/>
    </xf>
    <xf numFmtId="0" fontId="81" fillId="19" borderId="0" xfId="0" applyFont="1" applyFill="1" applyAlignment="1">
      <alignment horizontal="center" vertical="center"/>
    </xf>
    <xf numFmtId="0" fontId="10" fillId="0" borderId="31" xfId="4" applyFont="1" applyBorder="1" applyAlignment="1">
      <alignment horizontal="center" vertical="center" textRotation="90" wrapText="1"/>
    </xf>
    <xf numFmtId="0" fontId="10" fillId="0" borderId="34" xfId="4" applyFont="1" applyBorder="1" applyAlignment="1">
      <alignment horizontal="center" vertical="center" textRotation="90" wrapText="1"/>
    </xf>
    <xf numFmtId="0" fontId="10" fillId="0" borderId="30" xfId="4" applyFont="1" applyBorder="1" applyAlignment="1">
      <alignment horizontal="center" vertical="center" wrapText="1"/>
    </xf>
    <xf numFmtId="0" fontId="10" fillId="0" borderId="13" xfId="4" applyFont="1" applyBorder="1" applyAlignment="1">
      <alignment horizontal="center" vertical="center" wrapText="1"/>
    </xf>
    <xf numFmtId="0" fontId="25" fillId="19" borderId="31" xfId="4" applyFont="1" applyFill="1" applyBorder="1" applyAlignment="1">
      <alignment horizontal="center"/>
    </xf>
    <xf numFmtId="0" fontId="25" fillId="19" borderId="32" xfId="4" applyFont="1" applyFill="1" applyBorder="1" applyAlignment="1">
      <alignment horizontal="center"/>
    </xf>
    <xf numFmtId="0" fontId="25" fillId="19" borderId="33" xfId="4" applyFont="1" applyFill="1" applyBorder="1" applyAlignment="1">
      <alignment horizontal="center"/>
    </xf>
    <xf numFmtId="0" fontId="10" fillId="0" borderId="10" xfId="0" applyFont="1" applyBorder="1" applyAlignment="1">
      <alignment horizontal="center" vertical="center" textRotation="90" wrapText="1"/>
    </xf>
    <xf numFmtId="0" fontId="10" fillId="0" borderId="11" xfId="0" applyFont="1" applyBorder="1" applyAlignment="1">
      <alignment horizontal="center" vertical="center" textRotation="90" wrapText="1"/>
    </xf>
    <xf numFmtId="0" fontId="18" fillId="3" borderId="0" xfId="0" applyFont="1" applyFill="1" applyAlignment="1">
      <alignment horizontal="center" vertical="top" wrapText="1"/>
    </xf>
    <xf numFmtId="0" fontId="10" fillId="3" borderId="29" xfId="0" applyFont="1" applyFill="1" applyBorder="1" applyAlignment="1">
      <alignment horizontal="center" vertical="center" wrapText="1"/>
    </xf>
    <xf numFmtId="0" fontId="10" fillId="3" borderId="30"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0" xfId="0" applyFont="1" applyFill="1" applyBorder="1" applyAlignment="1">
      <alignment horizontal="center" vertical="center" textRotation="90" wrapText="1"/>
    </xf>
    <xf numFmtId="0" fontId="10" fillId="3" borderId="11" xfId="0" applyFont="1" applyFill="1" applyBorder="1" applyAlignment="1">
      <alignment horizontal="center" vertical="center" textRotation="90" wrapText="1"/>
    </xf>
    <xf numFmtId="0" fontId="10" fillId="3" borderId="14" xfId="0" applyFont="1" applyFill="1" applyBorder="1" applyAlignment="1">
      <alignment horizontal="center" vertical="center" wrapText="1"/>
    </xf>
    <xf numFmtId="0" fontId="10" fillId="3" borderId="15" xfId="0" applyFont="1" applyFill="1" applyBorder="1" applyAlignment="1">
      <alignment horizontal="center" vertical="center" wrapText="1"/>
    </xf>
    <xf numFmtId="0" fontId="10" fillId="0" borderId="31" xfId="0" applyFont="1" applyBorder="1" applyAlignment="1">
      <alignment horizontal="center" vertical="center" textRotation="90" wrapText="1"/>
    </xf>
    <xf numFmtId="0" fontId="10" fillId="0" borderId="34" xfId="0" applyFont="1" applyBorder="1" applyAlignment="1">
      <alignment horizontal="center" vertical="center" textRotation="90" wrapText="1"/>
    </xf>
    <xf numFmtId="0" fontId="10" fillId="0" borderId="30" xfId="0" applyFont="1" applyBorder="1" applyAlignment="1">
      <alignment horizontal="center" vertical="center" wrapText="1"/>
    </xf>
    <xf numFmtId="0" fontId="10" fillId="0" borderId="13" xfId="0" applyFont="1" applyBorder="1" applyAlignment="1">
      <alignment horizontal="center" vertical="center" wrapText="1"/>
    </xf>
    <xf numFmtId="0" fontId="28" fillId="0" borderId="3" xfId="0" applyFont="1" applyFill="1" applyBorder="1" applyAlignment="1">
      <alignment horizontal="center" vertical="center"/>
    </xf>
    <xf numFmtId="0" fontId="28" fillId="0" borderId="1" xfId="0" applyFont="1" applyFill="1" applyBorder="1" applyAlignment="1">
      <alignment horizontal="center" vertical="center"/>
    </xf>
    <xf numFmtId="49" fontId="70" fillId="0" borderId="1" xfId="0" applyNumberFormat="1" applyFont="1" applyFill="1" applyBorder="1" applyAlignment="1">
      <alignment horizontal="center" vertical="center"/>
    </xf>
  </cellXfs>
  <cellStyles count="6">
    <cellStyle name="Normal" xfId="0" builtinId="0"/>
    <cellStyle name="Normal 10" xfId="3" xr:uid="{771BFA44-86A4-48D0-85F1-E597633679C5}"/>
    <cellStyle name="Normal 2" xfId="2" xr:uid="{00000000-0005-0000-0000-000002000000}"/>
    <cellStyle name="Normal 3" xfId="4" xr:uid="{5FD8D355-0D25-4345-B359-57BCA2922E20}"/>
    <cellStyle name="Normal_Sheet1" xfId="1" xr:uid="{00000000-0005-0000-0000-000003000000}"/>
    <cellStyle name="Percent 2" xfId="5" xr:uid="{ED2C3FFC-2D38-48DD-BCC2-DF82EC2F8826}"/>
  </cellStyles>
  <dxfs count="205">
    <dxf>
      <fill>
        <patternFill>
          <bgColor rgb="FF0DBC00"/>
        </patternFill>
      </fill>
    </dxf>
    <dxf>
      <fill>
        <patternFill>
          <bgColor theme="6" tint="-0.24994659260841701"/>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00B050"/>
        </patternFill>
      </fill>
    </dxf>
    <dxf>
      <fill>
        <patternFill>
          <bgColor rgb="FFC00000"/>
        </patternFill>
      </fill>
    </dxf>
    <dxf>
      <fill>
        <patternFill>
          <bgColor rgb="FFFFC000"/>
        </patternFill>
      </fill>
    </dxf>
    <dxf>
      <fill>
        <patternFill>
          <bgColor rgb="FF0DBC00"/>
        </patternFill>
      </fill>
    </dxf>
    <dxf>
      <fill>
        <patternFill>
          <bgColor theme="6" tint="-0.24994659260841701"/>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00B050"/>
        </patternFill>
      </fill>
    </dxf>
    <dxf>
      <font>
        <color auto="1"/>
      </font>
      <fill>
        <patternFill>
          <bgColor rgb="FF92D050"/>
        </patternFill>
      </fill>
    </dxf>
    <dxf>
      <fill>
        <patternFill>
          <bgColor rgb="FFFFFF00"/>
        </patternFill>
      </fill>
    </dxf>
    <dxf>
      <fill>
        <patternFill>
          <bgColor theme="9"/>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numFmt numFmtId="166" formatCode="[$£-809]#,##0.00"/>
    </dxf>
    <dxf>
      <numFmt numFmtId="166" formatCode="[$£-809]#,##0.00"/>
    </dxf>
    <dxf>
      <numFmt numFmtId="30" formatCode="@"/>
    </dxf>
    <dxf>
      <font>
        <b val="0"/>
        <i val="0"/>
        <strike val="0"/>
        <condense val="0"/>
        <extend val="0"/>
        <outline val="0"/>
        <shadow val="0"/>
        <u val="none"/>
        <vertAlign val="baseline"/>
        <sz val="12"/>
        <color auto="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right/>
        <top/>
        <bottom style="medium">
          <color rgb="FFA3A3A3"/>
        </bottom>
        <vertical/>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medium">
          <color rgb="FFA3A3A3"/>
        </left>
        <right style="medium">
          <color rgb="FFA3A3A3"/>
        </right>
        <top/>
        <bottom style="medium">
          <color rgb="FFA3A3A3"/>
        </bottom>
        <vertical/>
        <horizontal/>
      </border>
    </dxf>
    <dxf>
      <font>
        <b val="0"/>
        <i val="0"/>
        <strike val="0"/>
        <condense val="0"/>
        <extend val="0"/>
        <outline val="0"/>
        <shadow val="0"/>
        <u val="none"/>
        <vertAlign val="baseline"/>
        <sz val="12"/>
        <color theme="1"/>
        <name val="Arial"/>
        <family val="2"/>
        <scheme val="none"/>
      </font>
      <alignment horizontal="general" vertical="center" textRotation="0" wrapText="0" indent="0" justifyLastLine="0" shrinkToFit="0" readingOrder="0"/>
      <border diagonalUp="0" diagonalDown="0" outline="0">
        <left/>
        <right style="medium">
          <color rgb="FFA3A3A3"/>
        </right>
        <top/>
        <bottom style="medium">
          <color rgb="FFA3A3A3"/>
        </bottom>
      </border>
    </dxf>
    <dxf>
      <border outline="0">
        <left style="medium">
          <color rgb="FFA3A3A3"/>
        </left>
        <right style="medium">
          <color rgb="FFA3A3A3"/>
        </right>
        <top style="medium">
          <color rgb="FFA3A3A3"/>
        </top>
        <bottom style="medium">
          <color rgb="FFA3A3A3"/>
        </bottom>
      </border>
    </dxf>
    <dxf>
      <border outline="0">
        <bottom style="medium">
          <color rgb="FFA3A3A3"/>
        </bottom>
      </border>
    </dxf>
    <dxf>
      <font>
        <strike val="0"/>
        <outline val="0"/>
        <shadow val="0"/>
        <u val="none"/>
        <vertAlign val="baseline"/>
        <sz val="12"/>
        <color theme="0"/>
        <name val="Arial"/>
        <scheme val="none"/>
      </font>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3999755851924192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2"/>
        <color theme="0"/>
        <name val="Segoe UI Emoji"/>
        <family val="2"/>
        <scheme val="none"/>
      </font>
      <fill>
        <patternFill patternType="solid">
          <fgColor indexed="64"/>
          <bgColor rgb="FFFFC000"/>
        </patternFill>
      </fill>
      <alignment horizontal="left" vertical="center" textRotation="0" wrapText="0" indent="0" justifyLastLine="0" shrinkToFit="0" readingOrder="0"/>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z val="12"/>
        <color theme="1"/>
        <family val="2"/>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z val="12"/>
        <color theme="1"/>
        <family val="2"/>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ont>
        <b/>
        <i val="0"/>
        <strike val="0"/>
        <condense val="0"/>
        <extend val="0"/>
        <outline val="0"/>
        <shadow val="0"/>
        <u val="none"/>
        <vertAlign val="baseline"/>
        <sz val="12"/>
        <color theme="0"/>
        <name val="Arial"/>
        <family val="2"/>
        <scheme val="none"/>
      </font>
      <fill>
        <patternFill patternType="solid">
          <fgColor indexed="64"/>
          <bgColor theme="6"/>
        </patternFill>
      </fill>
      <alignment horizontal="left" vertical="center" textRotation="0" wrapText="0" indent="0" justifyLastLine="0" shrinkToFit="0" readingOrder="0"/>
    </dxf>
    <dxf>
      <font>
        <b/>
        <strike val="0"/>
        <outline val="0"/>
        <shadow val="0"/>
        <u val="none"/>
        <vertAlign val="baseline"/>
        <sz val="16"/>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000000"/>
        <name val="Arial"/>
        <family val="2"/>
        <scheme val="none"/>
      </font>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auto="1"/>
        <name val="Arial"/>
        <family val="2"/>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alignment textRotation="0" wrapText="0" indent="0" justifyLastLine="0" shrinkToFit="0" readingOrder="0"/>
    </dxf>
    <dxf>
      <border outline="0">
        <bottom style="thin">
          <color indexed="64"/>
        </bottom>
      </border>
    </dxf>
    <dxf>
      <font>
        <b/>
        <strike val="0"/>
        <outline val="0"/>
        <shadow val="0"/>
        <u val="none"/>
        <vertAlign val="baseline"/>
        <sz val="16"/>
        <color auto="1"/>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rgb="FF000000"/>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auto="1"/>
        <name val="Arial"/>
        <family val="2"/>
        <scheme val="none"/>
      </font>
      <numFmt numFmtId="30" formatCode="@"/>
      <fill>
        <patternFill patternType="solid">
          <fgColor indexed="64"/>
          <bgColor theme="6" tint="0.79998168889431442"/>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1F4E79"/>
        <name val="Calibri"/>
        <family val="2"/>
        <scheme val="none"/>
      </font>
      <numFmt numFmtId="0" formatCode="General"/>
      <fill>
        <patternFill patternType="solid">
          <fgColor indexed="64"/>
          <bgColor rgb="FFDEEAF6"/>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solid">
          <fgColor indexed="64"/>
          <bgColor rgb="FF0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66CC"/>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1F4E79"/>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375623"/>
        <name val="Calibri"/>
        <family val="2"/>
        <scheme val="none"/>
      </font>
      <fill>
        <patternFill patternType="solid">
          <fgColor indexed="64"/>
          <bgColor rgb="FFE2EFDA"/>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family val="2"/>
        <scheme val="none"/>
      </font>
      <alignment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Arial"/>
        <family val="2"/>
        <scheme val="none"/>
      </font>
      <fill>
        <patternFill patternType="solid">
          <fgColor indexed="64"/>
          <bgColor rgb="FF00873B"/>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2"/>
        <color auto="1"/>
        <name val="Arial"/>
        <family val="2"/>
        <scheme val="none"/>
      </font>
      <numFmt numFmtId="30" formatCode="@"/>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6"/>
        <color auto="1"/>
        <name val="Arial"/>
        <family val="2"/>
        <scheme val="none"/>
      </font>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6"/>
        <color auto="1"/>
        <name val="Arial"/>
        <family val="2"/>
        <scheme val="none"/>
      </font>
      <numFmt numFmtId="167" formatCode="_-[$£-809]* #,##0.00_-;\-[$£-809]* #,##0.00_-;_-[$£-809]* &quot;-&quot;??_-;_-@_-"/>
      <fill>
        <patternFill patternType="solid">
          <fgColor indexed="64"/>
          <bgColor rgb="FFFFFFCC"/>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auto="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4"/>
        <color auto="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auto="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2"/>
        <color auto="1"/>
        <name val="Arial"/>
        <family val="2"/>
        <scheme val="none"/>
      </font>
      <fill>
        <patternFill patternType="solid">
          <fgColor indexed="64"/>
          <bgColor theme="0" tint="-4.9989318521683403E-2"/>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alignment textRotation="0" wrapText="0" indent="0" justifyLastLine="0" shrinkToFit="0" readingOrder="0"/>
    </dxf>
    <dxf>
      <border>
        <bottom style="thin">
          <color indexed="64"/>
        </bottom>
      </border>
    </dxf>
    <dxf>
      <font>
        <strike val="0"/>
        <outline val="0"/>
        <shadow val="0"/>
        <u val="none"/>
        <vertAlign val="baseline"/>
        <sz val="16"/>
        <color auto="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Arial"/>
        <scheme val="none"/>
      </font>
      <border diagonalUp="0" diagonalDown="0" outline="0">
        <left style="medium">
          <color indexed="64"/>
        </left>
        <right style="medium">
          <color indexed="64"/>
        </right>
        <top/>
        <bottom/>
      </border>
      <protection locked="0" hidden="0"/>
    </dxf>
    <dxf>
      <font>
        <strike val="0"/>
        <outline val="0"/>
        <shadow val="0"/>
        <u val="none"/>
        <vertAlign val="baseline"/>
        <sz val="12"/>
        <name val="Arial"/>
        <scheme val="none"/>
      </font>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242424"/>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242424"/>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68" formatCode="m/d/yyyy"/>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dxf>
    <dxf>
      <font>
        <b/>
        <i val="0"/>
        <strike val="0"/>
        <condense val="0"/>
        <extend val="0"/>
        <outline val="0"/>
        <shadow val="0"/>
        <u val="none"/>
        <vertAlign val="baseline"/>
        <sz val="11"/>
        <color auto="1"/>
        <name val="Arial"/>
        <family val="2"/>
        <scheme val="none"/>
      </font>
      <fill>
        <patternFill patternType="solid">
          <fgColor indexed="64"/>
          <bgColor rgb="FFC9D963"/>
        </patternFill>
      </fill>
      <alignment horizontal="general" vertical="center" textRotation="0" wrapText="1" indent="0" justifyLastLine="0" shrinkToFit="0" readingOrder="0"/>
      <border diagonalUp="0" diagonalDown="0" outline="0">
        <left style="thin">
          <color indexed="64"/>
        </left>
        <right style="thin">
          <color indexed="64"/>
        </right>
        <top/>
        <bottom/>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0" formatCode="&quot;£&quot;#,##0;[Red]\-&quot;£&quot;#,##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168" formatCode="m/d/yyyy"/>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168" formatCode="m/d/yyyy"/>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center" textRotation="0" wrapText="1" indent="0" justifyLastLine="0" shrinkToFit="0" readingOrder="0"/>
    </dxf>
    <dxf>
      <font>
        <b/>
        <i val="0"/>
        <strike val="0"/>
        <condense val="0"/>
        <extend val="0"/>
        <outline val="0"/>
        <shadow val="0"/>
        <u val="none"/>
        <vertAlign val="baseline"/>
        <sz val="11"/>
        <color theme="0"/>
        <name val="Arial"/>
        <family val="2"/>
        <scheme val="none"/>
      </font>
      <fill>
        <patternFill patternType="solid">
          <fgColor indexed="64"/>
          <bgColor rgb="FF00873B"/>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873B"/>
      <color rgb="FF0DBC00"/>
      <color rgb="FFFFFFCC"/>
      <color rgb="FFFF7C80"/>
      <color rgb="FFFFBF00"/>
      <color rgb="FFFFFF99"/>
      <color rgb="FF006400"/>
      <color rgb="FF06402B"/>
      <color rgb="FF8B0000"/>
      <color rgb="FFC9D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22/11/relationships/FeaturePropertyBag" Target="featurePropertyBag/featurePropertyBag.xml"/><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theme" Target="theme/theme1.xml"/><Relationship Id="rId35" Type="http://schemas.openxmlformats.org/officeDocument/2006/relationships/powerPivotData" Target="model/item.data"/><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17/10/relationships/person" Target="persons/person.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connections" Target="connections.xml"/><Relationship Id="rId44" Type="http://schemas.openxmlformats.org/officeDocument/2006/relationships/customXml" Target="../customXml/item6.xml"/><Relationship Id="rId52"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Risk Status Distribution</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858831872559958"/>
          <c:y val="0.26009255253131353"/>
          <c:w val="0.50430921458229527"/>
          <c:h val="0.69679197192577258"/>
        </c:manualLayout>
      </c:layout>
      <c:pieChart>
        <c:varyColors val="1"/>
        <c:ser>
          <c:idx val="0"/>
          <c:order val="0"/>
          <c:tx>
            <c:strRef>
              <c:f>Dashboard!$J$7</c:f>
              <c:strCache>
                <c:ptCount val="1"/>
                <c:pt idx="0">
                  <c:v>Count</c:v>
                </c:pt>
              </c:strCache>
            </c:strRef>
          </c:tx>
          <c:spPr>
            <a:ln>
              <a:solidFill>
                <a:sysClr val="windowText" lastClr="000000"/>
              </a:solidFill>
            </a:ln>
          </c:spPr>
          <c:dPt>
            <c:idx val="0"/>
            <c:bubble3D val="0"/>
            <c:spPr>
              <a:solidFill>
                <a:schemeClr val="accent1"/>
              </a:solidFill>
              <a:ln w="19050">
                <a:solidFill>
                  <a:sysClr val="windowText" lastClr="000000"/>
                </a:solidFill>
              </a:ln>
              <a:effectLst/>
            </c:spPr>
            <c:extLst>
              <c:ext xmlns:c16="http://schemas.microsoft.com/office/drawing/2014/chart" uri="{C3380CC4-5D6E-409C-BE32-E72D297353CC}">
                <c16:uniqueId val="{00000001-F8C3-44B0-AFA1-4FDE3940AFAB}"/>
              </c:ext>
            </c:extLst>
          </c:dPt>
          <c:dPt>
            <c:idx val="1"/>
            <c:bubble3D val="0"/>
            <c:spPr>
              <a:solidFill>
                <a:schemeClr val="accent2"/>
              </a:solidFill>
              <a:ln w="19050">
                <a:solidFill>
                  <a:sysClr val="windowText" lastClr="000000"/>
                </a:solidFill>
              </a:ln>
              <a:effectLst/>
            </c:spPr>
            <c:extLst>
              <c:ext xmlns:c16="http://schemas.microsoft.com/office/drawing/2014/chart" uri="{C3380CC4-5D6E-409C-BE32-E72D297353CC}">
                <c16:uniqueId val="{00000003-F8C3-44B0-AFA1-4FDE3940AFAB}"/>
              </c:ext>
            </c:extLst>
          </c:dPt>
          <c:dPt>
            <c:idx val="2"/>
            <c:bubble3D val="0"/>
            <c:spPr>
              <a:solidFill>
                <a:schemeClr val="accent3"/>
              </a:solidFill>
              <a:ln w="19050">
                <a:solidFill>
                  <a:sysClr val="windowText" lastClr="000000"/>
                </a:solidFill>
              </a:ln>
              <a:effectLst/>
            </c:spPr>
            <c:extLst>
              <c:ext xmlns:c16="http://schemas.microsoft.com/office/drawing/2014/chart" uri="{C3380CC4-5D6E-409C-BE32-E72D297353CC}">
                <c16:uniqueId val="{00000005-F8C3-44B0-AFA1-4FDE3940AFAB}"/>
              </c:ext>
            </c:extLst>
          </c:dPt>
          <c:dPt>
            <c:idx val="3"/>
            <c:bubble3D val="0"/>
            <c:spPr>
              <a:solidFill>
                <a:schemeClr val="accent4"/>
              </a:solidFill>
              <a:ln w="19050">
                <a:solidFill>
                  <a:sysClr val="windowText" lastClr="000000"/>
                </a:solidFill>
              </a:ln>
              <a:effectLst/>
            </c:spPr>
            <c:extLst>
              <c:ext xmlns:c16="http://schemas.microsoft.com/office/drawing/2014/chart" uri="{C3380CC4-5D6E-409C-BE32-E72D297353CC}">
                <c16:uniqueId val="{00000007-F8C3-44B0-AFA1-4FDE3940AFAB}"/>
              </c:ext>
            </c:extLst>
          </c:dPt>
          <c:dPt>
            <c:idx val="4"/>
            <c:bubble3D val="0"/>
            <c:spPr>
              <a:solidFill>
                <a:schemeClr val="accent5"/>
              </a:solidFill>
              <a:ln w="19050">
                <a:solidFill>
                  <a:sysClr val="windowText" lastClr="000000"/>
                </a:solidFill>
              </a:ln>
              <a:effectLst/>
            </c:spPr>
            <c:extLst>
              <c:ext xmlns:c16="http://schemas.microsoft.com/office/drawing/2014/chart" uri="{C3380CC4-5D6E-409C-BE32-E72D297353CC}">
                <c16:uniqueId val="{00000009-F8C3-44B0-AFA1-4FDE3940AFAB}"/>
              </c:ext>
            </c:extLst>
          </c:dPt>
          <c:dLbls>
            <c:dLbl>
              <c:idx val="3"/>
              <c:layout>
                <c:manualLayout>
                  <c:x val="-5.239696898197567E-2"/>
                  <c:y val="-9.240775686718785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C3-44B0-AFA1-4FDE3940AFAB}"/>
                </c:ext>
              </c:extLst>
            </c:dLbl>
            <c:dLbl>
              <c:idx val="4"/>
              <c:layout>
                <c:manualLayout>
                  <c:x val="8.3551923511798964E-2"/>
                  <c:y val="-1.848155137343755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C3-44B0-AFA1-4FDE3940AFAB}"/>
                </c:ext>
              </c:extLst>
            </c:dLbl>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Dashboard!$I$8:$I$12</c:f>
              <c:strCache>
                <c:ptCount val="5"/>
                <c:pt idx="0">
                  <c:v>Closed</c:v>
                </c:pt>
                <c:pt idx="1">
                  <c:v>Managed</c:v>
                </c:pt>
                <c:pt idx="2">
                  <c:v>Mitigated</c:v>
                </c:pt>
                <c:pt idx="3">
                  <c:v>Open</c:v>
                </c:pt>
                <c:pt idx="4">
                  <c:v>Tolerated</c:v>
                </c:pt>
              </c:strCache>
            </c:strRef>
          </c:cat>
          <c:val>
            <c:numRef>
              <c:f>Dashboard!$J$8:$J$12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F8C3-44B0-AFA1-4FDE3940AFA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Risk Appetite Alignment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83269129362991"/>
          <c:y val="0.22170729940842263"/>
          <c:w val="0.74251047481498611"/>
          <c:h val="0.7345883999056928"/>
        </c:manualLayout>
      </c:layout>
      <c:barChart>
        <c:barDir val="col"/>
        <c:grouping val="clustered"/>
        <c:varyColors val="0"/>
        <c:ser>
          <c:idx val="0"/>
          <c:order val="0"/>
          <c:spPr>
            <a:solidFill>
              <a:srgbClr val="006400"/>
            </a:solidFill>
            <a:ln>
              <a:solidFill>
                <a:sysClr val="windowText" lastClr="000000"/>
              </a:solidFill>
            </a:ln>
            <a:effectLst/>
          </c:spPr>
          <c:invertIfNegative val="0"/>
          <c:dPt>
            <c:idx val="0"/>
            <c:invertIfNegative val="0"/>
            <c:bubble3D val="0"/>
            <c:spPr>
              <a:solidFill>
                <a:srgbClr val="C00000"/>
              </a:solidFill>
              <a:ln>
                <a:solidFill>
                  <a:sysClr val="windowText" lastClr="000000"/>
                </a:solidFill>
              </a:ln>
              <a:effectLst/>
            </c:spPr>
            <c:extLst>
              <c:ext xmlns:c16="http://schemas.microsoft.com/office/drawing/2014/chart" uri="{C3380CC4-5D6E-409C-BE32-E72D297353CC}">
                <c16:uniqueId val="{00000001-487A-49B3-B773-2B786CC25E38}"/>
              </c:ext>
            </c:extLst>
          </c:dPt>
          <c:dPt>
            <c:idx val="2"/>
            <c:invertIfNegative val="0"/>
            <c:bubble3D val="0"/>
            <c:spPr>
              <a:solidFill>
                <a:srgbClr val="FFFF99"/>
              </a:solidFill>
              <a:ln>
                <a:solidFill>
                  <a:sysClr val="windowText" lastClr="000000"/>
                </a:solidFill>
              </a:ln>
              <a:effectLst/>
            </c:spPr>
            <c:extLst>
              <c:ext xmlns:c16="http://schemas.microsoft.com/office/drawing/2014/chart" uri="{C3380CC4-5D6E-409C-BE32-E72D297353CC}">
                <c16:uniqueId val="{00000003-487A-49B3-B773-2B786CC25E38}"/>
              </c:ext>
            </c:extLst>
          </c:dPt>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Dashboard!$N$6:$N$8</c:f>
              <c:strCache>
                <c:ptCount val="3"/>
                <c:pt idx="0">
                  <c:v>MISALIGNED</c:v>
                </c:pt>
                <c:pt idx="1">
                  <c:v>ALIGNED</c:v>
                </c:pt>
                <c:pt idx="2">
                  <c:v>TD</c:v>
                </c:pt>
              </c:strCache>
            </c:strRef>
          </c:cat>
          <c:val>
            <c:numRef>
              <c:f>Dashboard!$O$6:$O$8</c:f>
              <c:numCache>
                <c:formatCode>General</c:formatCode>
                <c:ptCount val="3"/>
                <c:pt idx="0">
                  <c:v>36</c:v>
                </c:pt>
                <c:pt idx="1">
                  <c:v>24</c:v>
                </c:pt>
                <c:pt idx="2">
                  <c:v>0</c:v>
                </c:pt>
              </c:numCache>
            </c:numRef>
          </c:val>
          <c:extLst>
            <c:ext xmlns:c16="http://schemas.microsoft.com/office/drawing/2014/chart" uri="{C3380CC4-5D6E-409C-BE32-E72D297353CC}">
              <c16:uniqueId val="{00000004-487A-49B3-B773-2B786CC25E38}"/>
            </c:ext>
          </c:extLst>
        </c:ser>
        <c:dLbls>
          <c:dLblPos val="outEnd"/>
          <c:showLegendKey val="0"/>
          <c:showVal val="1"/>
          <c:showCatName val="0"/>
          <c:showSerName val="0"/>
          <c:showPercent val="0"/>
          <c:showBubbleSize val="0"/>
        </c:dLbls>
        <c:gapWidth val="182"/>
        <c:axId val="1738352016"/>
        <c:axId val="1738347696"/>
      </c:barChart>
      <c:catAx>
        <c:axId val="1738352016"/>
        <c:scaling>
          <c:orientation val="minMax"/>
        </c:scaling>
        <c:delete val="1"/>
        <c:axPos val="b"/>
        <c:majorGridlines>
          <c:spPr>
            <a:ln w="9525" cap="flat" cmpd="sng" algn="ctr">
              <a:noFill/>
              <a:round/>
            </a:ln>
            <a:effectLst/>
          </c:spPr>
        </c:majorGridlines>
        <c:numFmt formatCode="General" sourceLinked="1"/>
        <c:majorTickMark val="out"/>
        <c:minorTickMark val="none"/>
        <c:tickLblPos val="nextTo"/>
        <c:crossAx val="1738347696"/>
        <c:crosses val="autoZero"/>
        <c:auto val="1"/>
        <c:lblAlgn val="ctr"/>
        <c:lblOffset val="100"/>
        <c:noMultiLvlLbl val="0"/>
      </c:catAx>
      <c:valAx>
        <c:axId val="1738347696"/>
        <c:scaling>
          <c:orientation val="minMax"/>
        </c:scaling>
        <c:delete val="1"/>
        <c:axPos val="l"/>
        <c:numFmt formatCode="General" sourceLinked="1"/>
        <c:majorTickMark val="out"/>
        <c:minorTickMark val="none"/>
        <c:tickLblPos val="nextTo"/>
        <c:crossAx val="173835201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KRI Status</a:t>
            </a:r>
            <a:r>
              <a:rPr lang="en-US" sz="6000" b="1" baseline="0"/>
              <a:t> Distribution</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541076118333946"/>
          <c:y val="0.24074760527571412"/>
          <c:w val="0.44655324417875153"/>
          <c:h val="0.74422053683853329"/>
        </c:manualLayout>
      </c:layout>
      <c:pieChart>
        <c:varyColors val="1"/>
        <c:ser>
          <c:idx val="0"/>
          <c:order val="0"/>
          <c:spPr>
            <a:ln>
              <a:solidFill>
                <a:sysClr val="windowText" lastClr="000000"/>
              </a:solidFill>
            </a:ln>
          </c:spPr>
          <c:dPt>
            <c:idx val="0"/>
            <c:bubble3D val="0"/>
            <c:spPr>
              <a:solidFill>
                <a:srgbClr val="C00000"/>
              </a:solidFill>
              <a:ln w="19050">
                <a:solidFill>
                  <a:sysClr val="windowText" lastClr="000000"/>
                </a:solidFill>
              </a:ln>
              <a:effectLst/>
            </c:spPr>
            <c:extLst>
              <c:ext xmlns:c16="http://schemas.microsoft.com/office/drawing/2014/chart" uri="{C3380CC4-5D6E-409C-BE32-E72D297353CC}">
                <c16:uniqueId val="{00000001-AE88-46FF-B390-C393488A6FEB}"/>
              </c:ext>
            </c:extLst>
          </c:dPt>
          <c:dPt>
            <c:idx val="1"/>
            <c:bubble3D val="0"/>
            <c:spPr>
              <a:solidFill>
                <a:srgbClr val="FFC000"/>
              </a:solidFill>
              <a:ln w="19050">
                <a:solidFill>
                  <a:sysClr val="windowText" lastClr="000000"/>
                </a:solidFill>
              </a:ln>
              <a:effectLst/>
            </c:spPr>
            <c:extLst>
              <c:ext xmlns:c16="http://schemas.microsoft.com/office/drawing/2014/chart" uri="{C3380CC4-5D6E-409C-BE32-E72D297353CC}">
                <c16:uniqueId val="{00000003-AE88-46FF-B390-C393488A6FEB}"/>
              </c:ext>
            </c:extLst>
          </c:dPt>
          <c:dPt>
            <c:idx val="2"/>
            <c:bubble3D val="0"/>
            <c:spPr>
              <a:solidFill>
                <a:srgbClr val="00873B"/>
              </a:solidFill>
              <a:ln w="19050">
                <a:solidFill>
                  <a:sysClr val="windowText" lastClr="000000"/>
                </a:solidFill>
              </a:ln>
              <a:effectLst/>
            </c:spPr>
            <c:extLst>
              <c:ext xmlns:c16="http://schemas.microsoft.com/office/drawing/2014/chart" uri="{C3380CC4-5D6E-409C-BE32-E72D297353CC}">
                <c16:uniqueId val="{00000005-AE88-46FF-B390-C393488A6FEB}"/>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Dashboard!$C$32:$C$34</c:f>
              <c:strCache>
                <c:ptCount val="3"/>
                <c:pt idx="0">
                  <c:v>🔴 RED KRIs</c:v>
                </c:pt>
                <c:pt idx="1">
                  <c:v>🟡 AMBER KRIs</c:v>
                </c:pt>
                <c:pt idx="2">
                  <c:v>🟢 GREEN KRIs</c:v>
                </c:pt>
              </c:strCache>
            </c:strRef>
          </c:cat>
          <c:val>
            <c:numRef>
              <c:f>Dashboard!$D$32:$D$34</c:f>
              <c:numCache>
                <c:formatCode>General</c:formatCode>
                <c:ptCount val="3"/>
                <c:pt idx="0">
                  <c:v>0</c:v>
                </c:pt>
                <c:pt idx="1">
                  <c:v>0</c:v>
                </c:pt>
                <c:pt idx="2">
                  <c:v>0</c:v>
                </c:pt>
              </c:numCache>
            </c:numRef>
          </c:val>
          <c:extLst>
            <c:ext xmlns:c16="http://schemas.microsoft.com/office/drawing/2014/chart" uri="{C3380CC4-5D6E-409C-BE32-E72D297353CC}">
              <c16:uniqueId val="{00000006-AE88-46FF-B390-C393488A6FEB}"/>
            </c:ext>
          </c:extLst>
        </c:ser>
        <c:dLbls>
          <c:dLblPos val="outEnd"/>
          <c:showLegendKey val="0"/>
          <c:showVal val="0"/>
          <c:showCatName val="0"/>
          <c:showSerName val="0"/>
          <c:showPercent val="1"/>
          <c:showBubbleSize val="0"/>
          <c:showLeaderLines val="0"/>
        </c:dLbls>
        <c:firstSliceAng val="0"/>
      </c:pieChart>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Status Distribution</a:t>
            </a:r>
            <a:endParaRPr lang="en-US" sz="6000" b="1"/>
          </a:p>
        </c:rich>
      </c:tx>
      <c:layout>
        <c:manualLayout>
          <c:xMode val="edge"/>
          <c:yMode val="edge"/>
          <c:x val="0.31100744914520917"/>
          <c:y val="8.9832155999374441E-2"/>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2888908099951669"/>
          <c:y val="0.25335621675006292"/>
          <c:w val="0.37225614284647696"/>
          <c:h val="0.58053939692400014"/>
        </c:manualLayout>
      </c:layout>
      <c:pieChart>
        <c:varyColors val="1"/>
        <c:ser>
          <c:idx val="0"/>
          <c:order val="0"/>
          <c:dPt>
            <c:idx val="0"/>
            <c:bubble3D val="0"/>
            <c:spPr>
              <a:solidFill>
                <a:srgbClr val="C00000"/>
              </a:solidFill>
              <a:ln w="19050">
                <a:solidFill>
                  <a:schemeClr val="lt1"/>
                </a:solidFill>
              </a:ln>
              <a:effectLst/>
            </c:spPr>
            <c:extLst>
              <c:ext xmlns:c16="http://schemas.microsoft.com/office/drawing/2014/chart" uri="{C3380CC4-5D6E-409C-BE32-E72D297353CC}">
                <c16:uniqueId val="{00000001-4B8E-4F4D-8AC4-90A543A00D4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8E-4F4D-8AC4-90A543A00D4F}"/>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4B8E-4F4D-8AC4-90A543A00D4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B9-4B7E-85DA-CC137252F21F}"/>
              </c:ext>
            </c:extLst>
          </c:dPt>
          <c:dPt>
            <c:idx val="4"/>
            <c:bubble3D val="0"/>
            <c:spPr>
              <a:solidFill>
                <a:srgbClr val="00873B"/>
              </a:solidFill>
              <a:ln w="19050">
                <a:solidFill>
                  <a:schemeClr val="lt1"/>
                </a:solidFill>
              </a:ln>
              <a:effectLst/>
            </c:spPr>
            <c:extLst>
              <c:ext xmlns:c16="http://schemas.microsoft.com/office/drawing/2014/chart" uri="{C3380CC4-5D6E-409C-BE32-E72D297353CC}">
                <c16:uniqueId val="{00000009-50B9-4B7E-85DA-CC137252F2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679-4BD7-924B-BB100CCE0842}"/>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Dashboard!$C$48:$C$53</c:f>
              <c:strCache>
                <c:ptCount val="5"/>
                <c:pt idx="0">
                  <c:v>🔴 RED KPIs</c:v>
                </c:pt>
                <c:pt idx="2">
                  <c:v>🟡 AMBER KPIs</c:v>
                </c:pt>
                <c:pt idx="4">
                  <c:v>🟢 GREEN KPIs</c:v>
                </c:pt>
              </c:strCache>
            </c:strRef>
          </c:cat>
          <c:val>
            <c:numRef>
              <c:f>Dashboard!$D$48:$D$53</c:f>
              <c:numCache>
                <c:formatCode>General</c:formatCode>
                <c:ptCount val="6"/>
                <c:pt idx="0">
                  <c:v>2</c:v>
                </c:pt>
                <c:pt idx="2">
                  <c:v>2</c:v>
                </c:pt>
                <c:pt idx="4">
                  <c:v>4</c:v>
                </c:pt>
              </c:numCache>
            </c:numRef>
          </c:val>
          <c:extLst>
            <c:ext xmlns:c16="http://schemas.microsoft.com/office/drawing/2014/chart" uri="{C3380CC4-5D6E-409C-BE32-E72D297353CC}">
              <c16:uniqueId val="{00000006-4B8E-4F4D-8AC4-90A543A00D4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Status Distribution</a:t>
            </a:r>
            <a:endParaRPr lang="en-US" sz="6000" b="1"/>
          </a:p>
        </c:rich>
      </c:tx>
      <c:layout>
        <c:manualLayout>
          <c:xMode val="edge"/>
          <c:yMode val="edge"/>
          <c:x val="0.37593217250843719"/>
          <c:y val="3.835971269115214E-2"/>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7254967001706504"/>
          <c:y val="0.32530440884971007"/>
          <c:w val="0.51558897324874586"/>
          <c:h val="0.65460546455235225"/>
        </c:manualLayout>
      </c:layout>
      <c:pieChart>
        <c:varyColors val="1"/>
        <c:ser>
          <c:idx val="0"/>
          <c:order val="0"/>
          <c:spPr>
            <a:ln>
              <a:solidFill>
                <a:sysClr val="windowText" lastClr="000000"/>
              </a:solidFill>
            </a:ln>
          </c:spPr>
          <c:dPt>
            <c:idx val="0"/>
            <c:bubble3D val="0"/>
            <c:spPr>
              <a:solidFill>
                <a:srgbClr val="C00000"/>
              </a:solidFill>
              <a:ln w="19050">
                <a:solidFill>
                  <a:sysClr val="windowText" lastClr="000000"/>
                </a:solidFill>
              </a:ln>
              <a:effectLst/>
            </c:spPr>
            <c:extLst>
              <c:ext xmlns:c16="http://schemas.microsoft.com/office/drawing/2014/chart" uri="{C3380CC4-5D6E-409C-BE32-E72D297353CC}">
                <c16:uniqueId val="{00000001-4200-4991-BD89-3AA102B16EC4}"/>
              </c:ext>
            </c:extLst>
          </c:dPt>
          <c:dPt>
            <c:idx val="1"/>
            <c:bubble3D val="0"/>
            <c:spPr>
              <a:solidFill>
                <a:schemeClr val="accent2"/>
              </a:solidFill>
              <a:ln w="19050">
                <a:solidFill>
                  <a:sysClr val="windowText" lastClr="000000"/>
                </a:solidFill>
              </a:ln>
              <a:effectLst/>
            </c:spPr>
            <c:extLst>
              <c:ext xmlns:c16="http://schemas.microsoft.com/office/drawing/2014/chart" uri="{C3380CC4-5D6E-409C-BE32-E72D297353CC}">
                <c16:uniqueId val="{00000003-4200-4991-BD89-3AA102B16EC4}"/>
              </c:ext>
            </c:extLst>
          </c:dPt>
          <c:dPt>
            <c:idx val="2"/>
            <c:bubble3D val="0"/>
            <c:spPr>
              <a:solidFill>
                <a:srgbClr val="FFBF00"/>
              </a:solidFill>
              <a:ln w="19050">
                <a:solidFill>
                  <a:sysClr val="windowText" lastClr="000000"/>
                </a:solidFill>
              </a:ln>
              <a:effectLst/>
            </c:spPr>
            <c:extLst>
              <c:ext xmlns:c16="http://schemas.microsoft.com/office/drawing/2014/chart" uri="{C3380CC4-5D6E-409C-BE32-E72D297353CC}">
                <c16:uniqueId val="{00000005-4200-4991-BD89-3AA102B16EC4}"/>
              </c:ext>
            </c:extLst>
          </c:dPt>
          <c:dPt>
            <c:idx val="3"/>
            <c:bubble3D val="0"/>
            <c:spPr>
              <a:solidFill>
                <a:schemeClr val="accent4"/>
              </a:solidFill>
              <a:ln w="19050">
                <a:solidFill>
                  <a:sysClr val="windowText" lastClr="000000"/>
                </a:solidFill>
              </a:ln>
              <a:effectLst/>
            </c:spPr>
            <c:extLst>
              <c:ext xmlns:c16="http://schemas.microsoft.com/office/drawing/2014/chart" uri="{C3380CC4-5D6E-409C-BE32-E72D297353CC}">
                <c16:uniqueId val="{00000007-4200-4991-BD89-3AA102B16EC4}"/>
              </c:ext>
            </c:extLst>
          </c:dPt>
          <c:dPt>
            <c:idx val="4"/>
            <c:bubble3D val="0"/>
            <c:spPr>
              <a:solidFill>
                <a:srgbClr val="FFFFCC"/>
              </a:solidFill>
              <a:ln w="19050">
                <a:solidFill>
                  <a:sysClr val="windowText" lastClr="000000"/>
                </a:solidFill>
              </a:ln>
              <a:effectLst/>
            </c:spPr>
            <c:extLst>
              <c:ext xmlns:c16="http://schemas.microsoft.com/office/drawing/2014/chart" uri="{C3380CC4-5D6E-409C-BE32-E72D297353CC}">
                <c16:uniqueId val="{00000009-3703-455F-B876-7CDC84CBA7B3}"/>
              </c:ext>
            </c:extLst>
          </c:dPt>
          <c:dPt>
            <c:idx val="5"/>
            <c:bubble3D val="0"/>
            <c:spPr>
              <a:solidFill>
                <a:schemeClr val="accent6"/>
              </a:solidFill>
              <a:ln w="19050">
                <a:solidFill>
                  <a:sysClr val="windowText" lastClr="000000"/>
                </a:solidFill>
              </a:ln>
              <a:effectLst/>
            </c:spPr>
            <c:extLst>
              <c:ext xmlns:c16="http://schemas.microsoft.com/office/drawing/2014/chart" uri="{C3380CC4-5D6E-409C-BE32-E72D297353CC}">
                <c16:uniqueId val="{0000000B-3703-455F-B876-7CDC84CBA7B3}"/>
              </c:ext>
            </c:extLst>
          </c:dPt>
          <c:dPt>
            <c:idx val="6"/>
            <c:bubble3D val="0"/>
            <c:spPr>
              <a:solidFill>
                <a:srgbClr val="00873B"/>
              </a:solidFill>
              <a:ln w="19050">
                <a:solidFill>
                  <a:sysClr val="windowText" lastClr="000000"/>
                </a:solidFill>
              </a:ln>
              <a:effectLst/>
            </c:spPr>
            <c:extLst>
              <c:ext xmlns:c16="http://schemas.microsoft.com/office/drawing/2014/chart" uri="{C3380CC4-5D6E-409C-BE32-E72D297353CC}">
                <c16:uniqueId val="{0000000D-3703-455F-B876-7CDC84CBA7B3}"/>
              </c:ext>
            </c:extLst>
          </c:dPt>
          <c:dPt>
            <c:idx val="7"/>
            <c:bubble3D val="0"/>
            <c:spPr>
              <a:solidFill>
                <a:schemeClr val="accent2">
                  <a:lumMod val="60000"/>
                </a:schemeClr>
              </a:solidFill>
              <a:ln w="19050">
                <a:solidFill>
                  <a:sysClr val="windowText" lastClr="000000"/>
                </a:solidFill>
              </a:ln>
              <a:effectLst/>
            </c:spPr>
            <c:extLst>
              <c:ext xmlns:c16="http://schemas.microsoft.com/office/drawing/2014/chart" uri="{C3380CC4-5D6E-409C-BE32-E72D297353CC}">
                <c16:uniqueId val="{0000000F-3CDA-4A1C-BE61-576EAE356A0C}"/>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Dashboard!$C$61:$C$68</c:f>
              <c:strCache>
                <c:ptCount val="7"/>
                <c:pt idx="0">
                  <c:v>Critical Risk</c:v>
                </c:pt>
                <c:pt idx="2">
                  <c:v>High Risk</c:v>
                </c:pt>
                <c:pt idx="4">
                  <c:v>Moderate Risk</c:v>
                </c:pt>
                <c:pt idx="6">
                  <c:v>Low Risk</c:v>
                </c:pt>
              </c:strCache>
            </c:strRef>
          </c:cat>
          <c:val>
            <c:numRef>
              <c:f>Dashboard!$D$61:$D$68</c:f>
              <c:numCache>
                <c:formatCode>General</c:formatCode>
                <c:ptCount val="8"/>
                <c:pt idx="0">
                  <c:v>1</c:v>
                </c:pt>
                <c:pt idx="2">
                  <c:v>5</c:v>
                </c:pt>
                <c:pt idx="4">
                  <c:v>7</c:v>
                </c:pt>
                <c:pt idx="6">
                  <c:v>5</c:v>
                </c:pt>
              </c:numCache>
            </c:numRef>
          </c:val>
          <c:extLst>
            <c:ext xmlns:c16="http://schemas.microsoft.com/office/drawing/2014/chart" uri="{C3380CC4-5D6E-409C-BE32-E72D297353CC}">
              <c16:uniqueId val="{00000008-4200-4991-BD89-3AA102B16EC4}"/>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Residual Risk Summary</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089932091039966"/>
          <c:y val="0.2232770562182205"/>
          <c:w val="0.57434920252142874"/>
          <c:h val="0.66560095877492154"/>
        </c:manualLayout>
      </c:layout>
      <c:pieChart>
        <c:varyColors val="1"/>
        <c:ser>
          <c:idx val="0"/>
          <c:order val="0"/>
          <c:spPr>
            <a:ln>
              <a:solidFill>
                <a:schemeClr val="tx1"/>
              </a:solidFill>
            </a:ln>
          </c:spPr>
          <c:dPt>
            <c:idx val="0"/>
            <c:bubble3D val="0"/>
            <c:spPr>
              <a:solidFill>
                <a:srgbClr val="0DBC00"/>
              </a:solidFill>
              <a:ln w="19050">
                <a:solidFill>
                  <a:schemeClr val="tx1"/>
                </a:solidFill>
              </a:ln>
              <a:effectLst/>
            </c:spPr>
            <c:extLst>
              <c:ext xmlns:c16="http://schemas.microsoft.com/office/drawing/2014/chart" uri="{C3380CC4-5D6E-409C-BE32-E72D297353CC}">
                <c16:uniqueId val="{00000001-CA62-4381-B83A-1BA32D689B0D}"/>
              </c:ext>
            </c:extLst>
          </c:dPt>
          <c:dPt>
            <c:idx val="1"/>
            <c:bubble3D val="0"/>
            <c:spPr>
              <a:solidFill>
                <a:schemeClr val="accent3">
                  <a:lumMod val="75000"/>
                </a:schemeClr>
              </a:solidFill>
              <a:ln w="19050">
                <a:solidFill>
                  <a:schemeClr val="tx1"/>
                </a:solidFill>
              </a:ln>
              <a:effectLst/>
            </c:spPr>
            <c:extLst>
              <c:ext xmlns:c16="http://schemas.microsoft.com/office/drawing/2014/chart" uri="{C3380CC4-5D6E-409C-BE32-E72D297353CC}">
                <c16:uniqueId val="{00000003-CA62-4381-B83A-1BA32D689B0D}"/>
              </c:ext>
            </c:extLst>
          </c:dPt>
          <c:dPt>
            <c:idx val="2"/>
            <c:bubble3D val="0"/>
            <c:spPr>
              <a:solidFill>
                <a:srgbClr val="FFFF00"/>
              </a:solidFill>
              <a:ln w="19050">
                <a:solidFill>
                  <a:schemeClr val="tx1"/>
                </a:solidFill>
              </a:ln>
              <a:effectLst/>
            </c:spPr>
            <c:extLst>
              <c:ext xmlns:c16="http://schemas.microsoft.com/office/drawing/2014/chart" uri="{C3380CC4-5D6E-409C-BE32-E72D297353CC}">
                <c16:uniqueId val="{00000005-CA62-4381-B83A-1BA32D689B0D}"/>
              </c:ext>
            </c:extLst>
          </c:dPt>
          <c:dPt>
            <c:idx val="3"/>
            <c:bubble3D val="0"/>
            <c:spPr>
              <a:solidFill>
                <a:srgbClr val="FFC000"/>
              </a:solidFill>
              <a:ln w="19050">
                <a:solidFill>
                  <a:schemeClr val="tx1"/>
                </a:solidFill>
              </a:ln>
              <a:effectLst/>
            </c:spPr>
            <c:extLst>
              <c:ext xmlns:c16="http://schemas.microsoft.com/office/drawing/2014/chart" uri="{C3380CC4-5D6E-409C-BE32-E72D297353CC}">
                <c16:uniqueId val="{00000007-CA62-4381-B83A-1BA32D689B0D}"/>
              </c:ext>
            </c:extLst>
          </c:dPt>
          <c:dPt>
            <c:idx val="4"/>
            <c:bubble3D val="0"/>
            <c:spPr>
              <a:solidFill>
                <a:srgbClr val="FF0000"/>
              </a:solidFill>
              <a:ln w="19050">
                <a:solidFill>
                  <a:schemeClr val="tx1"/>
                </a:solidFill>
              </a:ln>
              <a:effectLst/>
            </c:spPr>
            <c:extLst>
              <c:ext xmlns:c16="http://schemas.microsoft.com/office/drawing/2014/chart" uri="{C3380CC4-5D6E-409C-BE32-E72D297353CC}">
                <c16:uniqueId val="{00000009-CA62-4381-B83A-1BA32D689B0D}"/>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Dashboard!$C$8:$C$12</c:f>
              <c:strCache>
                <c:ptCount val="5"/>
                <c:pt idx="0">
                  <c:v>Insignificant</c:v>
                </c:pt>
                <c:pt idx="1">
                  <c:v>Minor</c:v>
                </c:pt>
                <c:pt idx="2">
                  <c:v>Moderate</c:v>
                </c:pt>
                <c:pt idx="3">
                  <c:v>Major</c:v>
                </c:pt>
                <c:pt idx="4">
                  <c:v>Severe</c:v>
                </c:pt>
              </c:strCache>
            </c:strRef>
          </c:cat>
          <c:val>
            <c:numRef>
              <c:f>Dashboard!$D$8:$D$12</c:f>
              <c:numCache>
                <c:formatCode>General</c:formatCode>
                <c:ptCount val="5"/>
                <c:pt idx="0">
                  <c:v>0</c:v>
                </c:pt>
                <c:pt idx="1">
                  <c:v>0</c:v>
                </c:pt>
                <c:pt idx="2">
                  <c:v>0</c:v>
                </c:pt>
                <c:pt idx="3">
                  <c:v>44</c:v>
                </c:pt>
                <c:pt idx="4">
                  <c:v>16</c:v>
                </c:pt>
              </c:numCache>
            </c:numRef>
          </c:val>
          <c:extLst>
            <c:ext xmlns:c16="http://schemas.microsoft.com/office/drawing/2014/chart" uri="{C3380CC4-5D6E-409C-BE32-E72D297353CC}">
              <c16:uniqueId val="{0000000A-CA62-4381-B83A-1BA32D689B0D}"/>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Issues</a:t>
            </a:r>
            <a:r>
              <a:rPr lang="en-US" sz="6000" b="1" baseline="0"/>
              <a:t> Summary</a:t>
            </a:r>
            <a:endParaRPr lang="en-US" sz="6000" b="1"/>
          </a:p>
        </c:rich>
      </c:tx>
      <c:layout>
        <c:manualLayout>
          <c:xMode val="edge"/>
          <c:yMode val="edge"/>
          <c:x val="0.35587547123439289"/>
          <c:y val="7.4174343192031532E-3"/>
        </c:manualLayout>
      </c:layout>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9168582033813211"/>
          <c:y val="0.24786453711800419"/>
          <c:w val="0.66507158980026404"/>
          <c:h val="0.64961401158488863"/>
        </c:manualLayout>
      </c:layout>
      <c:pieChart>
        <c:varyColors val="1"/>
        <c:ser>
          <c:idx val="0"/>
          <c:order val="0"/>
          <c:spPr>
            <a:ln>
              <a:solidFill>
                <a:schemeClr val="tx1"/>
              </a:solidFill>
            </a:ln>
          </c:spPr>
          <c:dPt>
            <c:idx val="0"/>
            <c:bubble3D val="0"/>
            <c:spPr>
              <a:solidFill>
                <a:srgbClr val="92D050"/>
              </a:solidFill>
              <a:ln w="19050">
                <a:solidFill>
                  <a:schemeClr val="tx1"/>
                </a:solidFill>
              </a:ln>
              <a:effectLst/>
            </c:spPr>
            <c:extLst>
              <c:ext xmlns:c16="http://schemas.microsoft.com/office/drawing/2014/chart" uri="{C3380CC4-5D6E-409C-BE32-E72D297353CC}">
                <c16:uniqueId val="{00000003-9402-48D6-98C9-93649A4CF8A1}"/>
              </c:ext>
            </c:extLst>
          </c:dPt>
          <c:dPt>
            <c:idx val="1"/>
            <c:bubble3D val="0"/>
            <c:spPr>
              <a:solidFill>
                <a:srgbClr val="FFFF00"/>
              </a:solidFill>
              <a:ln w="19050">
                <a:solidFill>
                  <a:schemeClr val="tx1"/>
                </a:solidFill>
              </a:ln>
              <a:effectLst/>
            </c:spPr>
            <c:extLst>
              <c:ext xmlns:c16="http://schemas.microsoft.com/office/drawing/2014/chart" uri="{C3380CC4-5D6E-409C-BE32-E72D297353CC}">
                <c16:uniqueId val="{00000004-9402-48D6-98C9-93649A4CF8A1}"/>
              </c:ext>
            </c:extLst>
          </c:dPt>
          <c:dPt>
            <c:idx val="2"/>
            <c:bubble3D val="0"/>
            <c:spPr>
              <a:solidFill>
                <a:srgbClr val="FF0000"/>
              </a:solidFill>
              <a:ln w="19050">
                <a:solidFill>
                  <a:schemeClr val="tx1"/>
                </a:solidFill>
              </a:ln>
              <a:effectLst/>
            </c:spPr>
            <c:extLst>
              <c:ext xmlns:c16="http://schemas.microsoft.com/office/drawing/2014/chart" uri="{C3380CC4-5D6E-409C-BE32-E72D297353CC}">
                <c16:uniqueId val="{00000002-9402-48D6-98C9-93649A4CF8A1}"/>
              </c:ext>
            </c:extLst>
          </c:dPt>
          <c:dLbls>
            <c:spPr>
              <a:solidFill>
                <a:srgbClr val="4F81BD">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600" b="1"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Dashboard!$C$21:$C$23</c:f>
              <c:strCache>
                <c:ptCount val="3"/>
                <c:pt idx="0">
                  <c:v>Low</c:v>
                </c:pt>
                <c:pt idx="1">
                  <c:v>Medium</c:v>
                </c:pt>
                <c:pt idx="2">
                  <c:v>High</c:v>
                </c:pt>
              </c:strCache>
            </c:strRef>
          </c:cat>
          <c:val>
            <c:numRef>
              <c:f>Dashboard!$D$21:$D$23</c:f>
              <c:numCache>
                <c:formatCode>General</c:formatCode>
                <c:ptCount val="3"/>
                <c:pt idx="0">
                  <c:v>0</c:v>
                </c:pt>
                <c:pt idx="1">
                  <c:v>0</c:v>
                </c:pt>
                <c:pt idx="2">
                  <c:v>4</c:v>
                </c:pt>
              </c:numCache>
            </c:numRef>
          </c:val>
          <c:extLst>
            <c:ext xmlns:c16="http://schemas.microsoft.com/office/drawing/2014/chart" uri="{C3380CC4-5D6E-409C-BE32-E72D297353CC}">
              <c16:uniqueId val="{00000000-9402-48D6-98C9-93649A4CF8A1}"/>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7-4E6F-441D-9DAC-8A76D41418F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4E6F-441D-9DAC-8A76D41418F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4E6F-441D-9DAC-8A76D41418FA}"/>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uri="{CE6537A1-D6FC-4f65-9D91-7224C49458BB}">
                      <c15:spPr xmlns:c15="http://schemas.microsoft.com/office/drawing/2012/chart">
                        <a:prstGeom prst="wedgeRectCallout">
                          <a:avLst/>
                        </a:prstGeom>
                        <a:noFill/>
                        <a:ln>
                          <a:noFill/>
                        </a:ln>
                      </c15:spPr>
                    </c:ext>
                  </c:extLst>
                </c:dLbls>
                <c:cat>
                  <c:strRef>
                    <c:extLst>
                      <c:ext uri="{02D57815-91ED-43cb-92C2-25804820EDAC}">
                        <c15:formulaRef>
                          <c15:sqref>Dashboard!$C$21:$C$23</c15:sqref>
                        </c15:formulaRef>
                      </c:ext>
                    </c:extLst>
                    <c:strCache>
                      <c:ptCount val="3"/>
                      <c:pt idx="0">
                        <c:v>Low</c:v>
                      </c:pt>
                      <c:pt idx="1">
                        <c:v>Medium</c:v>
                      </c:pt>
                      <c:pt idx="2">
                        <c:v>High</c:v>
                      </c:pt>
                    </c:strCache>
                  </c:strRef>
                </c:cat>
                <c:val>
                  <c:numRef>
                    <c:extLst>
                      <c:ext uri="{02D57815-91ED-43cb-92C2-25804820EDAC}">
                        <c15:formulaRef>
                          <c15:sqref>Dashboard!$E$21:$E$23</c15:sqref>
                        </c15:formulaRef>
                      </c:ext>
                    </c:extLst>
                    <c:numCache>
                      <c:formatCode>General</c:formatCode>
                      <c:ptCount val="3"/>
                    </c:numCache>
                  </c:numRef>
                </c:val>
                <c:extLst>
                  <c:ext xmlns:c16="http://schemas.microsoft.com/office/drawing/2014/chart" uri="{C3380CC4-5D6E-409C-BE32-E72D297353CC}">
                    <c16:uniqueId val="{00000001-9402-48D6-98C9-93649A4CF8A1}"/>
                  </c:ext>
                </c:extLst>
              </c15:ser>
            </c15:filteredPieSeries>
          </c:ext>
        </c:extLst>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Issues</a:t>
            </a:r>
            <a:r>
              <a:rPr lang="en-US" sz="6000" b="1" baseline="0"/>
              <a:t> Statues</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4580103366217296"/>
          <c:y val="0.10129025311781319"/>
          <c:w val="0.64404335725390005"/>
          <c:h val="0.88453337146172839"/>
        </c:manualLayout>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Dashboard!$I$19:$I$23</c:f>
              <c:strCache>
                <c:ptCount val="5"/>
                <c:pt idx="0">
                  <c:v>1. Investigating</c:v>
                </c:pt>
                <c:pt idx="1">
                  <c:v>2. Escalated</c:v>
                </c:pt>
                <c:pt idx="2">
                  <c:v>3. Implementing Fix</c:v>
                </c:pt>
                <c:pt idx="3">
                  <c:v>4. Resolved</c:v>
                </c:pt>
                <c:pt idx="4">
                  <c:v>5. Unassigned</c:v>
                </c:pt>
              </c:strCache>
            </c:strRef>
          </c:cat>
          <c:val>
            <c:numRef>
              <c:f>Dashboard!$J$19:$J$23</c:f>
              <c:numCache>
                <c:formatCode>General</c:formatCode>
                <c:ptCount val="5"/>
                <c:pt idx="0">
                  <c:v>1</c:v>
                </c:pt>
                <c:pt idx="1">
                  <c:v>0</c:v>
                </c:pt>
                <c:pt idx="2">
                  <c:v>0</c:v>
                </c:pt>
                <c:pt idx="3">
                  <c:v>0</c:v>
                </c:pt>
                <c:pt idx="4">
                  <c:v>1</c:v>
                </c:pt>
              </c:numCache>
            </c:numRef>
          </c:val>
          <c:extLst>
            <c:ext xmlns:c16="http://schemas.microsoft.com/office/drawing/2014/chart" uri="{C3380CC4-5D6E-409C-BE32-E72D297353CC}">
              <c16:uniqueId val="{00000000-737D-464D-9655-C01A2026DA2D}"/>
            </c:ext>
          </c:extLst>
        </c:ser>
        <c:dLbls>
          <c:showLegendKey val="0"/>
          <c:showVal val="0"/>
          <c:showCatName val="0"/>
          <c:showSerName val="0"/>
          <c:showPercent val="0"/>
          <c:showBubbleSize val="0"/>
        </c:dLbls>
        <c:gapWidth val="182"/>
        <c:axId val="2147287696"/>
        <c:axId val="2147299696"/>
      </c:barChart>
      <c:catAx>
        <c:axId val="2147287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3600" b="1" i="0" u="none" strike="noStrike" kern="1200" baseline="0">
                <a:solidFill>
                  <a:schemeClr val="tx1">
                    <a:lumMod val="65000"/>
                    <a:lumOff val="35000"/>
                  </a:schemeClr>
                </a:solidFill>
                <a:latin typeface="+mn-lt"/>
                <a:ea typeface="+mn-ea"/>
                <a:cs typeface="+mn-cs"/>
              </a:defRPr>
            </a:pPr>
            <a:endParaRPr lang="en-US"/>
          </a:p>
        </c:txPr>
        <c:crossAx val="2147299696"/>
        <c:crosses val="autoZero"/>
        <c:auto val="1"/>
        <c:lblAlgn val="ctr"/>
        <c:lblOffset val="100"/>
        <c:noMultiLvlLbl val="0"/>
      </c:catAx>
      <c:valAx>
        <c:axId val="2147299696"/>
        <c:scaling>
          <c:orientation val="minMax"/>
        </c:scaling>
        <c:delete val="1"/>
        <c:axPos val="b"/>
        <c:numFmt formatCode="General" sourceLinked="1"/>
        <c:majorTickMark val="none"/>
        <c:minorTickMark val="none"/>
        <c:tickLblPos val="nextTo"/>
        <c:crossAx val="214728769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[RIO v5.02.xlsm]Pivot_table!PivotTable3</c:name>
    <c:fmtId val="9"/>
  </c:pivotSource>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Gross/Risudual ALE per Workstream</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82296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792027492042354"/>
          <c:y val="3.463823336372282E-2"/>
          <c:w val="0.70556888444528965"/>
          <c:h val="0.91760357955255589"/>
        </c:manualLayout>
      </c:layout>
      <c:barChart>
        <c:barDir val="bar"/>
        <c:grouping val="clustered"/>
        <c:varyColors val="0"/>
        <c:ser>
          <c:idx val="0"/>
          <c:order val="0"/>
          <c:tx>
            <c:strRef>
              <c:f>Pivot_table!$B$1</c:f>
              <c:strCache>
                <c:ptCount val="1"/>
                <c:pt idx="0">
                  <c:v>Sum of Gross ALE</c:v>
                </c:pt>
              </c:strCache>
            </c:strRef>
          </c:tx>
          <c:spPr>
            <a:solidFill>
              <a:schemeClr val="accent1"/>
            </a:solidFill>
            <a:ln>
              <a:noFill/>
            </a:ln>
            <a:effectLst/>
          </c:spPr>
          <c:invertIfNegative val="0"/>
          <c:dLbls>
            <c:spPr>
              <a:noFill/>
              <a:ln>
                <a:noFill/>
              </a:ln>
              <a:effectLst/>
            </c:spPr>
            <c:txPr>
              <a:bodyPr rot="0" spcFirstLastPara="1" vertOverflow="clip" horzOverflow="clip" vert="horz" wrap="square" lIns="82296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Pivot_table!$A$2:$A$4</c:f>
              <c:strCache>
                <c:ptCount val="2"/>
                <c:pt idx="0">
                  <c:v>Reputational</c:v>
                </c:pt>
                <c:pt idx="1">
                  <c:v>Resourcing</c:v>
                </c:pt>
              </c:strCache>
            </c:strRef>
          </c:cat>
          <c:val>
            <c:numRef>
              <c:f>Pivot_table!$B$2:$B$4</c:f>
              <c:numCache>
                <c:formatCode>[$£-809]#,##0.00</c:formatCode>
                <c:ptCount val="2"/>
                <c:pt idx="0">
                  <c:v>120002.4</c:v>
                </c:pt>
                <c:pt idx="1">
                  <c:v>320000</c:v>
                </c:pt>
              </c:numCache>
            </c:numRef>
          </c:val>
          <c:extLst>
            <c:ext xmlns:c16="http://schemas.microsoft.com/office/drawing/2014/chart" uri="{C3380CC4-5D6E-409C-BE32-E72D297353CC}">
              <c16:uniqueId val="{00000000-1396-4CA6-B134-10C15A02162E}"/>
            </c:ext>
          </c:extLst>
        </c:ser>
        <c:ser>
          <c:idx val="1"/>
          <c:order val="1"/>
          <c:tx>
            <c:strRef>
              <c:f>Pivot_table!$C$1</c:f>
              <c:strCache>
                <c:ptCount val="1"/>
                <c:pt idx="0">
                  <c:v>Sum of Residual 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4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Pivot_table!$A$2:$A$4</c:f>
              <c:strCache>
                <c:ptCount val="2"/>
                <c:pt idx="0">
                  <c:v>Reputational</c:v>
                </c:pt>
                <c:pt idx="1">
                  <c:v>Resourcing</c:v>
                </c:pt>
              </c:strCache>
            </c:strRef>
          </c:cat>
          <c:val>
            <c:numRef>
              <c:f>Pivot_table!$C$2:$C$4</c:f>
              <c:numCache>
                <c:formatCode>[$£-809]#,##0.00</c:formatCode>
                <c:ptCount val="2"/>
                <c:pt idx="0">
                  <c:v>80001.600000000006</c:v>
                </c:pt>
                <c:pt idx="1">
                  <c:v>120000</c:v>
                </c:pt>
              </c:numCache>
            </c:numRef>
          </c:val>
          <c:extLst>
            <c:ext xmlns:c16="http://schemas.microsoft.com/office/drawing/2014/chart" uri="{C3380CC4-5D6E-409C-BE32-E72D297353CC}">
              <c16:uniqueId val="{00000001-1396-4CA6-B134-10C15A02162E}"/>
            </c:ext>
          </c:extLst>
        </c:ser>
        <c:dLbls>
          <c:showLegendKey val="0"/>
          <c:showVal val="0"/>
          <c:showCatName val="0"/>
          <c:showSerName val="0"/>
          <c:showPercent val="0"/>
          <c:showBubbleSize val="0"/>
        </c:dLbls>
        <c:gapWidth val="70"/>
        <c:axId val="1698252367"/>
        <c:axId val="1698245647"/>
      </c:barChart>
      <c:catAx>
        <c:axId val="169825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800" b="1" i="0" u="none" strike="noStrike" kern="1200" baseline="0">
                <a:solidFill>
                  <a:schemeClr val="tx1">
                    <a:lumMod val="65000"/>
                    <a:lumOff val="35000"/>
                  </a:schemeClr>
                </a:solidFill>
                <a:latin typeface="+mn-lt"/>
                <a:ea typeface="+mn-ea"/>
                <a:cs typeface="+mn-cs"/>
              </a:defRPr>
            </a:pPr>
            <a:endParaRPr lang="en-US"/>
          </a:p>
        </c:txPr>
        <c:crossAx val="1698245647"/>
        <c:crosses val="autoZero"/>
        <c:auto val="1"/>
        <c:lblAlgn val="ctr"/>
        <c:lblOffset val="100"/>
        <c:noMultiLvlLbl val="0"/>
      </c:catAx>
      <c:valAx>
        <c:axId val="1698245647"/>
        <c:scaling>
          <c:orientation val="minMax"/>
        </c:scaling>
        <c:delete val="1"/>
        <c:axPos val="b"/>
        <c:numFmt formatCode="[$£-809]#,##0.00" sourceLinked="1"/>
        <c:majorTickMark val="none"/>
        <c:minorTickMark val="none"/>
        <c:tickLblPos val="nextTo"/>
        <c:crossAx val="169825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762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Open Risks by Age Bucket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Dashboard!$R$8:$R$12</c:f>
              <c:strCache>
                <c:ptCount val="5"/>
                <c:pt idx="0">
                  <c:v>0–3 months</c:v>
                </c:pt>
                <c:pt idx="1">
                  <c:v>3–6 months</c:v>
                </c:pt>
                <c:pt idx="2">
                  <c:v>6–12 months</c:v>
                </c:pt>
                <c:pt idx="3">
                  <c:v>≥1 year</c:v>
                </c:pt>
                <c:pt idx="4">
                  <c:v>≥2 year</c:v>
                </c:pt>
              </c:strCache>
            </c:strRef>
          </c:cat>
          <c:val>
            <c:numRef>
              <c:f>Dashboard!$S$8:$S$12</c:f>
              <c:numCache>
                <c:formatCode>General</c:formatCode>
                <c:ptCount val="5"/>
                <c:pt idx="0">
                  <c:v>4</c:v>
                </c:pt>
                <c:pt idx="1">
                  <c:v>0</c:v>
                </c:pt>
                <c:pt idx="2">
                  <c:v>0</c:v>
                </c:pt>
                <c:pt idx="3">
                  <c:v>0</c:v>
                </c:pt>
                <c:pt idx="4">
                  <c:v>0</c:v>
                </c:pt>
              </c:numCache>
            </c:numRef>
          </c:val>
          <c:extLst>
            <c:ext xmlns:c16="http://schemas.microsoft.com/office/drawing/2014/chart" uri="{C3380CC4-5D6E-409C-BE32-E72D297353CC}">
              <c16:uniqueId val="{00000000-21A8-410E-9B3B-A9CA89AE33F9}"/>
            </c:ext>
          </c:extLst>
        </c:ser>
        <c:dLbls>
          <c:dLblPos val="outEnd"/>
          <c:showLegendKey val="0"/>
          <c:showVal val="1"/>
          <c:showCatName val="0"/>
          <c:showSerName val="0"/>
          <c:showPercent val="0"/>
          <c:showBubbleSize val="0"/>
        </c:dLbls>
        <c:gapWidth val="219"/>
        <c:overlap val="-27"/>
        <c:axId val="103242127"/>
        <c:axId val="103237807"/>
      </c:barChart>
      <c:catAx>
        <c:axId val="10324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lumMod val="65000"/>
                    <a:lumOff val="35000"/>
                  </a:schemeClr>
                </a:solidFill>
                <a:latin typeface="+mn-lt"/>
                <a:ea typeface="+mn-ea"/>
                <a:cs typeface="+mn-cs"/>
              </a:defRPr>
            </a:pPr>
            <a:endParaRPr lang="en-US"/>
          </a:p>
        </c:txPr>
        <c:crossAx val="103237807"/>
        <c:crosses val="autoZero"/>
        <c:auto val="1"/>
        <c:lblAlgn val="ctr"/>
        <c:lblOffset val="100"/>
        <c:noMultiLvlLbl val="0"/>
      </c:catAx>
      <c:valAx>
        <c:axId val="103237807"/>
        <c:scaling>
          <c:orientation val="minMax"/>
        </c:scaling>
        <c:delete val="1"/>
        <c:axPos val="l"/>
        <c:numFmt formatCode="General" sourceLinked="1"/>
        <c:majorTickMark val="none"/>
        <c:minorTickMark val="none"/>
        <c:tickLblPos val="nextTo"/>
        <c:crossAx val="103242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Open Risks by Age Bucket</a:t>
            </a:r>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Dashboard!$N$19:$N$23</c:f>
              <c:strCache>
                <c:ptCount val="5"/>
                <c:pt idx="0">
                  <c:v>0–3 months</c:v>
                </c:pt>
                <c:pt idx="1">
                  <c:v>3–6 months</c:v>
                </c:pt>
                <c:pt idx="2">
                  <c:v>6–12 months</c:v>
                </c:pt>
                <c:pt idx="3">
                  <c:v>≥1 year</c:v>
                </c:pt>
                <c:pt idx="4">
                  <c:v>≥2 year</c:v>
                </c:pt>
              </c:strCache>
            </c:strRef>
          </c:cat>
          <c:val>
            <c:numRef>
              <c:f>Dashboard!$O$19:$O$23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B87B-4010-9ED5-20C1858C0757}"/>
            </c:ext>
          </c:extLst>
        </c:ser>
        <c:dLbls>
          <c:dLblPos val="outEnd"/>
          <c:showLegendKey val="0"/>
          <c:showVal val="1"/>
          <c:showCatName val="0"/>
          <c:showSerName val="0"/>
          <c:showPercent val="0"/>
          <c:showBubbleSize val="0"/>
        </c:dLbls>
        <c:gapWidth val="219"/>
        <c:overlap val="-27"/>
        <c:axId val="103242127"/>
        <c:axId val="103237807"/>
      </c:barChart>
      <c:catAx>
        <c:axId val="10324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lumMod val="65000"/>
                    <a:lumOff val="35000"/>
                  </a:schemeClr>
                </a:solidFill>
                <a:latin typeface="+mn-lt"/>
                <a:ea typeface="+mn-ea"/>
                <a:cs typeface="+mn-cs"/>
              </a:defRPr>
            </a:pPr>
            <a:endParaRPr lang="en-US"/>
          </a:p>
        </c:txPr>
        <c:crossAx val="103237807"/>
        <c:crosses val="autoZero"/>
        <c:auto val="1"/>
        <c:lblAlgn val="ctr"/>
        <c:lblOffset val="100"/>
        <c:noMultiLvlLbl val="0"/>
      </c:catAx>
      <c:valAx>
        <c:axId val="103237807"/>
        <c:scaling>
          <c:orientation val="minMax"/>
        </c:scaling>
        <c:delete val="1"/>
        <c:axPos val="l"/>
        <c:numFmt formatCode="General" sourceLinked="1"/>
        <c:majorTickMark val="none"/>
        <c:minorTickMark val="none"/>
        <c:tickLblPos val="nextTo"/>
        <c:crossAx val="1032421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r>
              <a:rPr lang="en-US" sz="6000" b="1"/>
              <a:t>KPI</a:t>
            </a:r>
            <a:r>
              <a:rPr lang="en-US" sz="6000" b="1" baseline="0"/>
              <a:t> Current Value Vs Target Value</a:t>
            </a:r>
            <a:endParaRPr lang="en-US" sz="6000" b="1"/>
          </a:p>
        </c:rich>
      </c:tx>
      <c:overlay val="0"/>
      <c:spPr>
        <a:noFill/>
        <a:ln>
          <a:noFill/>
        </a:ln>
        <a:effectLst/>
      </c:spPr>
      <c:txPr>
        <a:bodyPr rot="0" spcFirstLastPara="1" vertOverflow="ellipsis" vert="horz" wrap="square" anchor="ctr" anchorCtr="1"/>
        <a:lstStyle/>
        <a:p>
          <a:pPr>
            <a:defRPr sz="6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384871029052402"/>
          <c:y val="4.3689320388351166E-5"/>
          <c:w val="0.73263572087971762"/>
          <c:h val="0.93382779219636647"/>
        </c:manualLayout>
      </c:layout>
      <c:barChart>
        <c:barDir val="bar"/>
        <c:grouping val="clustered"/>
        <c:varyColors val="0"/>
        <c:ser>
          <c:idx val="0"/>
          <c:order val="0"/>
          <c:tx>
            <c:strRef>
              <c:f>Dashboard!$AI$45</c:f>
              <c:strCache>
                <c:ptCount val="1"/>
                <c:pt idx="0">
                  <c:v>Current Value</c:v>
                </c:pt>
              </c:strCache>
            </c:strRef>
          </c:tx>
          <c:spPr>
            <a:solidFill>
              <a:schemeClr val="tx2">
                <a:lumMod val="40000"/>
                <a:lumOff val="60000"/>
              </a:schemeClr>
            </a:solidFill>
            <a:ln>
              <a:solidFill>
                <a:schemeClr val="tx1"/>
              </a:solidFill>
            </a:ln>
            <a:effectLst/>
          </c:spPr>
          <c:invertIfNegative val="0"/>
          <c:cat>
            <c:strRef>
              <c:f>Dashboard!$AH$46:$AH$68</c:f>
              <c:strCache>
                <c:ptCount val="12"/>
                <c:pt idx="0">
                  <c:v>Cost Forecast Accuracy</c:v>
                </c:pt>
                <c:pt idx="1">
                  <c:v>Schedule Forecast Reliability</c:v>
                </c:pt>
                <c:pt idx="2">
                  <c:v>Change Order Impact</c:v>
                </c:pt>
                <c:pt idx="3">
                  <c:v>Budget Performance Rate</c:v>
                </c:pt>
                <c:pt idx="4">
                  <c:v>Contingency Management Score</c:v>
                </c:pt>
                <c:pt idx="5">
                  <c:v>Defect Resolution Rate</c:v>
                </c:pt>
                <c:pt idx="6">
                  <c:v>Quality Assurance Success</c:v>
                </c:pt>
                <c:pt idx="7">
                  <c:v>Post-Occupancy Satisfaction</c:v>
                </c:pt>
                <c:pt idx="8">
                  <c:v>Reporting Timeliness</c:v>
                </c:pt>
                <c:pt idx="9">
                  <c:v>Contractor Performance Index</c:v>
                </c:pt>
                <c:pt idx="10">
                  <c:v>Safety Performance Index</c:v>
                </c:pt>
                <c:pt idx="11">
                  <c:v>Project Outcome Alignment Index</c:v>
                </c:pt>
              </c:strCache>
            </c:strRef>
          </c:cat>
          <c:val>
            <c:numRef>
              <c:f>Dashboard!$AI$46:$AI$68</c:f>
              <c:numCache>
                <c:formatCode>0%</c:formatCode>
                <c:ptCount val="23"/>
                <c:pt idx="0">
                  <c:v>0.88</c:v>
                </c:pt>
                <c:pt idx="1">
                  <c:v>1.06</c:v>
                </c:pt>
                <c:pt idx="2">
                  <c:v>0.05</c:v>
                </c:pt>
                <c:pt idx="3">
                  <c:v>0.8</c:v>
                </c:pt>
                <c:pt idx="4">
                  <c:v>0.49</c:v>
                </c:pt>
                <c:pt idx="5">
                  <c:v>0.95</c:v>
                </c:pt>
                <c:pt idx="6">
                  <c:v>0.5</c:v>
                </c:pt>
                <c:pt idx="7">
                  <c:v>1.4</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EB5D-4032-A9A7-7E2CA6D718B9}"/>
            </c:ext>
          </c:extLst>
        </c:ser>
        <c:ser>
          <c:idx val="1"/>
          <c:order val="1"/>
          <c:tx>
            <c:strRef>
              <c:f>Dashboard!$AJ$45</c:f>
              <c:strCache>
                <c:ptCount val="1"/>
                <c:pt idx="0">
                  <c:v>Target Value</c:v>
                </c:pt>
              </c:strCache>
            </c:strRef>
          </c:tx>
          <c:spPr>
            <a:solidFill>
              <a:srgbClr val="92D050"/>
            </a:solidFill>
            <a:ln>
              <a:solidFill>
                <a:schemeClr val="tx1"/>
              </a:solidFill>
            </a:ln>
            <a:effectLst/>
          </c:spPr>
          <c:invertIfNegative val="0"/>
          <c:cat>
            <c:strRef>
              <c:f>Dashboard!$AH$46:$AH$68</c:f>
              <c:strCache>
                <c:ptCount val="12"/>
                <c:pt idx="0">
                  <c:v>Cost Forecast Accuracy</c:v>
                </c:pt>
                <c:pt idx="1">
                  <c:v>Schedule Forecast Reliability</c:v>
                </c:pt>
                <c:pt idx="2">
                  <c:v>Change Order Impact</c:v>
                </c:pt>
                <c:pt idx="3">
                  <c:v>Budget Performance Rate</c:v>
                </c:pt>
                <c:pt idx="4">
                  <c:v>Contingency Management Score</c:v>
                </c:pt>
                <c:pt idx="5">
                  <c:v>Defect Resolution Rate</c:v>
                </c:pt>
                <c:pt idx="6">
                  <c:v>Quality Assurance Success</c:v>
                </c:pt>
                <c:pt idx="7">
                  <c:v>Post-Occupancy Satisfaction</c:v>
                </c:pt>
                <c:pt idx="8">
                  <c:v>Reporting Timeliness</c:v>
                </c:pt>
                <c:pt idx="9">
                  <c:v>Contractor Performance Index</c:v>
                </c:pt>
                <c:pt idx="10">
                  <c:v>Safety Performance Index</c:v>
                </c:pt>
                <c:pt idx="11">
                  <c:v>Project Outcome Alignment Index</c:v>
                </c:pt>
              </c:strCache>
            </c:strRef>
          </c:cat>
          <c:val>
            <c:numRef>
              <c:f>Dashboard!$AJ$46:$AJ$68</c:f>
              <c:numCache>
                <c:formatCode>0%</c:formatCode>
                <c:ptCount val="23"/>
                <c:pt idx="0">
                  <c:v>0</c:v>
                </c:pt>
                <c:pt idx="1">
                  <c:v>0</c:v>
                </c:pt>
                <c:pt idx="2">
                  <c:v>0.05</c:v>
                </c:pt>
                <c:pt idx="3">
                  <c:v>0.85</c:v>
                </c:pt>
                <c:pt idx="4">
                  <c:v>0.4</c:v>
                </c:pt>
                <c:pt idx="5">
                  <c:v>0.95</c:v>
                </c:pt>
                <c:pt idx="6">
                  <c:v>0.9</c:v>
                </c:pt>
                <c:pt idx="7">
                  <c:v>0.8</c:v>
                </c:pt>
                <c:pt idx="8">
                  <c:v>0.95</c:v>
                </c:pt>
                <c:pt idx="9">
                  <c:v>0.85</c:v>
                </c:pt>
                <c:pt idx="10">
                  <c:v>0.5</c:v>
                </c:pt>
                <c:pt idx="11">
                  <c:v>0.95</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1-EB5D-4032-A9A7-7E2CA6D718B9}"/>
            </c:ext>
          </c:extLst>
        </c:ser>
        <c:dLbls>
          <c:showLegendKey val="0"/>
          <c:showVal val="0"/>
          <c:showCatName val="0"/>
          <c:showSerName val="0"/>
          <c:showPercent val="0"/>
          <c:showBubbleSize val="0"/>
        </c:dLbls>
        <c:gapWidth val="182"/>
        <c:axId val="1251867455"/>
        <c:axId val="1251859295"/>
      </c:barChart>
      <c:catAx>
        <c:axId val="1251867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800" b="1" i="0" u="none" strike="noStrike" kern="1200" baseline="0">
                <a:solidFill>
                  <a:schemeClr val="tx1">
                    <a:lumMod val="65000"/>
                    <a:lumOff val="35000"/>
                  </a:schemeClr>
                </a:solidFill>
                <a:latin typeface="+mn-lt"/>
                <a:ea typeface="+mn-ea"/>
                <a:cs typeface="+mn-cs"/>
              </a:defRPr>
            </a:pPr>
            <a:endParaRPr lang="en-US"/>
          </a:p>
        </c:txPr>
        <c:crossAx val="1251859295"/>
        <c:crosses val="autoZero"/>
        <c:auto val="1"/>
        <c:lblAlgn val="ctr"/>
        <c:lblOffset val="100"/>
        <c:noMultiLvlLbl val="0"/>
      </c:catAx>
      <c:valAx>
        <c:axId val="1251859295"/>
        <c:scaling>
          <c:orientation val="minMax"/>
          <c:max val="2"/>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5400" b="1" i="0" u="none" strike="noStrike" kern="1200" baseline="0">
                <a:solidFill>
                  <a:schemeClr val="tx1">
                    <a:lumMod val="65000"/>
                    <a:lumOff val="35000"/>
                  </a:schemeClr>
                </a:solidFill>
                <a:latin typeface="+mn-lt"/>
                <a:ea typeface="+mn-ea"/>
                <a:cs typeface="+mn-cs"/>
              </a:defRPr>
            </a:pPr>
            <a:endParaRPr lang="en-US"/>
          </a:p>
        </c:txPr>
        <c:crossAx val="12518674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6000" b="1"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[RIO v5.02.xlsm]Pivot_table!PivotTable3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Gross/Risudual ALE per Workstream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534367275421155"/>
          <c:y val="3.3107591852830708E-2"/>
          <c:w val="0.440700994135793"/>
          <c:h val="0.89707070094246433"/>
        </c:manualLayout>
      </c:layout>
      <c:barChart>
        <c:barDir val="bar"/>
        <c:grouping val="clustered"/>
        <c:varyColors val="0"/>
        <c:ser>
          <c:idx val="0"/>
          <c:order val="0"/>
          <c:tx>
            <c:strRef>
              <c:f>Pivot_table!$B$1</c:f>
              <c:strCache>
                <c:ptCount val="1"/>
                <c:pt idx="0">
                  <c:v>Sum of Gross 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Pivot_table!$A$2:$A$4</c:f>
              <c:strCache>
                <c:ptCount val="2"/>
                <c:pt idx="0">
                  <c:v>Reputational</c:v>
                </c:pt>
                <c:pt idx="1">
                  <c:v>Resourcing</c:v>
                </c:pt>
              </c:strCache>
            </c:strRef>
          </c:cat>
          <c:val>
            <c:numRef>
              <c:f>Pivot_table!$B$2:$B$4</c:f>
              <c:numCache>
                <c:formatCode>[$£-809]#,##0.00</c:formatCode>
                <c:ptCount val="2"/>
                <c:pt idx="0">
                  <c:v>120002.4</c:v>
                </c:pt>
                <c:pt idx="1">
                  <c:v>320000</c:v>
                </c:pt>
              </c:numCache>
            </c:numRef>
          </c:val>
          <c:extLst>
            <c:ext xmlns:c16="http://schemas.microsoft.com/office/drawing/2014/chart" uri="{C3380CC4-5D6E-409C-BE32-E72D297353CC}">
              <c16:uniqueId val="{00000000-4325-4E92-89DD-AE8ACBD79861}"/>
            </c:ext>
          </c:extLst>
        </c:ser>
        <c:ser>
          <c:idx val="1"/>
          <c:order val="1"/>
          <c:tx>
            <c:strRef>
              <c:f>Pivot_table!$C$1</c:f>
              <c:strCache>
                <c:ptCount val="1"/>
                <c:pt idx="0">
                  <c:v>Sum of Residual 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Pivot_table!$A$2:$A$4</c:f>
              <c:strCache>
                <c:ptCount val="2"/>
                <c:pt idx="0">
                  <c:v>Reputational</c:v>
                </c:pt>
                <c:pt idx="1">
                  <c:v>Resourcing</c:v>
                </c:pt>
              </c:strCache>
            </c:strRef>
          </c:cat>
          <c:val>
            <c:numRef>
              <c:f>Pivot_table!$C$2:$C$4</c:f>
              <c:numCache>
                <c:formatCode>[$£-809]#,##0.00</c:formatCode>
                <c:ptCount val="2"/>
                <c:pt idx="0">
                  <c:v>80001.600000000006</c:v>
                </c:pt>
                <c:pt idx="1">
                  <c:v>120000</c:v>
                </c:pt>
              </c:numCache>
            </c:numRef>
          </c:val>
          <c:extLst>
            <c:ext xmlns:c16="http://schemas.microsoft.com/office/drawing/2014/chart" uri="{C3380CC4-5D6E-409C-BE32-E72D297353CC}">
              <c16:uniqueId val="{00000001-4325-4E92-89DD-AE8ACBD79861}"/>
            </c:ext>
          </c:extLst>
        </c:ser>
        <c:dLbls>
          <c:dLblPos val="outEnd"/>
          <c:showLegendKey val="0"/>
          <c:showVal val="1"/>
          <c:showCatName val="0"/>
          <c:showSerName val="0"/>
          <c:showPercent val="0"/>
          <c:showBubbleSize val="0"/>
        </c:dLbls>
        <c:gapWidth val="150"/>
        <c:axId val="1698252367"/>
        <c:axId val="1698245647"/>
      </c:barChart>
      <c:catAx>
        <c:axId val="1698252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8245647"/>
        <c:crosses val="autoZero"/>
        <c:auto val="1"/>
        <c:lblAlgn val="ctr"/>
        <c:lblOffset val="100"/>
        <c:noMultiLvlLbl val="0"/>
      </c:catAx>
      <c:valAx>
        <c:axId val="1698245647"/>
        <c:scaling>
          <c:orientation val="minMax"/>
        </c:scaling>
        <c:delete val="1"/>
        <c:axPos val="b"/>
        <c:numFmt formatCode="[$£-809]#,##0.00" sourceLinked="1"/>
        <c:majorTickMark val="none"/>
        <c:minorTickMark val="none"/>
        <c:tickLblPos val="nextTo"/>
        <c:crossAx val="1698252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editAs="absolute">
    <xdr:from>
      <xdr:col>4</xdr:col>
      <xdr:colOff>97800</xdr:colOff>
      <xdr:row>1</xdr:row>
      <xdr:rowOff>226243</xdr:rowOff>
    </xdr:from>
    <xdr:to>
      <xdr:col>4</xdr:col>
      <xdr:colOff>3104774</xdr:colOff>
      <xdr:row>3</xdr:row>
      <xdr:rowOff>55646</xdr:rowOff>
    </xdr:to>
    <xdr:sp macro="[0]!Import_Risks_From_Subfolder" textlink="">
      <xdr:nvSpPr>
        <xdr:cNvPr id="2" name="Rectangle: Rounded Corners 1">
          <a:extLst>
            <a:ext uri="{FF2B5EF4-FFF2-40B4-BE49-F238E27FC236}">
              <a16:creationId xmlns:a16="http://schemas.microsoft.com/office/drawing/2014/main" id="{F4654A5E-FB10-9B85-6FD8-434668971A2B}"/>
            </a:ext>
          </a:extLst>
        </xdr:cNvPr>
        <xdr:cNvSpPr/>
      </xdr:nvSpPr>
      <xdr:spPr>
        <a:xfrm>
          <a:off x="6855318" y="407353"/>
          <a:ext cx="3005069" cy="826871"/>
        </a:xfrm>
        <a:prstGeom prst="roundRect">
          <a:avLst/>
        </a:prstGeom>
        <a:solidFill>
          <a:srgbClr val="00873B"/>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400" b="1">
              <a:solidFill>
                <a:schemeClr val="bg1"/>
              </a:solidFill>
            </a:rPr>
            <a:t>Update Risk</a:t>
          </a:r>
          <a:r>
            <a:rPr lang="en-US" sz="2400" b="1" baseline="0">
              <a:solidFill>
                <a:schemeClr val="bg1"/>
              </a:solidFill>
            </a:rPr>
            <a:t> Table</a:t>
          </a:r>
          <a:endParaRPr lang="en-US" sz="24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306162</xdr:colOff>
      <xdr:row>0</xdr:row>
      <xdr:rowOff>176893</xdr:rowOff>
    </xdr:from>
    <xdr:to>
      <xdr:col>3</xdr:col>
      <xdr:colOff>4204608</xdr:colOff>
      <xdr:row>3</xdr:row>
      <xdr:rowOff>126103</xdr:rowOff>
    </xdr:to>
    <xdr:sp macro="[0]!Import_Issues_From_Subfolder" textlink="">
      <xdr:nvSpPr>
        <xdr:cNvPr id="2" name="Rectangle: Rounded Corners 1">
          <a:extLst>
            <a:ext uri="{FF2B5EF4-FFF2-40B4-BE49-F238E27FC236}">
              <a16:creationId xmlns:a16="http://schemas.microsoft.com/office/drawing/2014/main" id="{4483556A-49C7-48C5-A3CD-B8313AD49FA2}"/>
            </a:ext>
          </a:extLst>
        </xdr:cNvPr>
        <xdr:cNvSpPr/>
      </xdr:nvSpPr>
      <xdr:spPr>
        <a:xfrm>
          <a:off x="4905376" y="176893"/>
          <a:ext cx="3898446" cy="826871"/>
        </a:xfrm>
        <a:prstGeom prst="roundRect">
          <a:avLst/>
        </a:prstGeom>
        <a:solidFill>
          <a:srgbClr val="00873B"/>
        </a:solidFill>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400" b="1">
              <a:solidFill>
                <a:schemeClr val="bg1"/>
              </a:solidFill>
            </a:rPr>
            <a:t>Update Issues</a:t>
          </a:r>
          <a:r>
            <a:rPr lang="en-US" sz="2400" b="1" baseline="0">
              <a:solidFill>
                <a:schemeClr val="bg1"/>
              </a:solidFill>
            </a:rPr>
            <a:t> Table</a:t>
          </a:r>
          <a:endParaRPr lang="en-US" sz="24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150393</xdr:colOff>
      <xdr:row>6</xdr:row>
      <xdr:rowOff>171980</xdr:rowOff>
    </xdr:from>
    <xdr:to>
      <xdr:col>11</xdr:col>
      <xdr:colOff>6803569</xdr:colOff>
      <xdr:row>11</xdr:row>
      <xdr:rowOff>1905001</xdr:rowOff>
    </xdr:to>
    <xdr:graphicFrame macro="">
      <xdr:nvGraphicFramePr>
        <xdr:cNvPr id="2" name="Chart 1">
          <a:extLst>
            <a:ext uri="{FF2B5EF4-FFF2-40B4-BE49-F238E27FC236}">
              <a16:creationId xmlns:a16="http://schemas.microsoft.com/office/drawing/2014/main" id="{28B0EDF5-00B7-485D-9FDB-DE2D5C3F40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76200</xdr:colOff>
      <xdr:row>8</xdr:row>
      <xdr:rowOff>190498</xdr:rowOff>
    </xdr:from>
    <xdr:to>
      <xdr:col>15</xdr:col>
      <xdr:colOff>5638798</xdr:colOff>
      <xdr:row>11</xdr:row>
      <xdr:rowOff>1924050</xdr:rowOff>
    </xdr:to>
    <xdr:graphicFrame macro="">
      <xdr:nvGraphicFramePr>
        <xdr:cNvPr id="3" name="Chart 2">
          <a:extLst>
            <a:ext uri="{FF2B5EF4-FFF2-40B4-BE49-F238E27FC236}">
              <a16:creationId xmlns:a16="http://schemas.microsoft.com/office/drawing/2014/main" id="{447FFB2F-5196-4284-9486-A2B58688A0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101023</xdr:colOff>
      <xdr:row>29</xdr:row>
      <xdr:rowOff>132290</xdr:rowOff>
    </xdr:from>
    <xdr:to>
      <xdr:col>6</xdr:col>
      <xdr:colOff>7070481</xdr:colOff>
      <xdr:row>33</xdr:row>
      <xdr:rowOff>2190745</xdr:rowOff>
    </xdr:to>
    <xdr:graphicFrame macro="">
      <xdr:nvGraphicFramePr>
        <xdr:cNvPr id="4" name="Chart 3">
          <a:extLst>
            <a:ext uri="{FF2B5EF4-FFF2-40B4-BE49-F238E27FC236}">
              <a16:creationId xmlns:a16="http://schemas.microsoft.com/office/drawing/2014/main" id="{92E5A4BE-4C31-4D03-B501-46C7F7B0F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119062</xdr:colOff>
      <xdr:row>46</xdr:row>
      <xdr:rowOff>61451</xdr:rowOff>
    </xdr:from>
    <xdr:to>
      <xdr:col>6</xdr:col>
      <xdr:colOff>7024682</xdr:colOff>
      <xdr:row>52</xdr:row>
      <xdr:rowOff>1056033</xdr:rowOff>
    </xdr:to>
    <xdr:graphicFrame macro="">
      <xdr:nvGraphicFramePr>
        <xdr:cNvPr id="6" name="Chart 5">
          <a:extLst>
            <a:ext uri="{FF2B5EF4-FFF2-40B4-BE49-F238E27FC236}">
              <a16:creationId xmlns:a16="http://schemas.microsoft.com/office/drawing/2014/main" id="{B866A9AC-686F-41A0-92B0-D415CF1CB2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110754</xdr:colOff>
      <xdr:row>59</xdr:row>
      <xdr:rowOff>61451</xdr:rowOff>
    </xdr:from>
    <xdr:to>
      <xdr:col>6</xdr:col>
      <xdr:colOff>7350814</xdr:colOff>
      <xdr:row>68</xdr:row>
      <xdr:rowOff>0</xdr:rowOff>
    </xdr:to>
    <xdr:graphicFrame macro="">
      <xdr:nvGraphicFramePr>
        <xdr:cNvPr id="8" name="Chart 7">
          <a:extLst>
            <a:ext uri="{FF2B5EF4-FFF2-40B4-BE49-F238E27FC236}">
              <a16:creationId xmlns:a16="http://schemas.microsoft.com/office/drawing/2014/main" id="{746E3A82-DBB0-435F-8C74-372AD2C8B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15361</xdr:colOff>
      <xdr:row>6</xdr:row>
      <xdr:rowOff>61451</xdr:rowOff>
    </xdr:from>
    <xdr:to>
      <xdr:col>6</xdr:col>
      <xdr:colOff>7143748</xdr:colOff>
      <xdr:row>11</xdr:row>
      <xdr:rowOff>1927675</xdr:rowOff>
    </xdr:to>
    <xdr:graphicFrame macro="">
      <xdr:nvGraphicFramePr>
        <xdr:cNvPr id="9" name="Chart 8">
          <a:extLst>
            <a:ext uri="{FF2B5EF4-FFF2-40B4-BE49-F238E27FC236}">
              <a16:creationId xmlns:a16="http://schemas.microsoft.com/office/drawing/2014/main" id="{9B794731-EEBA-49C7-8704-8E32FBFDA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146732</xdr:colOff>
      <xdr:row>17</xdr:row>
      <xdr:rowOff>51485</xdr:rowOff>
    </xdr:from>
    <xdr:to>
      <xdr:col>6</xdr:col>
      <xdr:colOff>7166425</xdr:colOff>
      <xdr:row>22</xdr:row>
      <xdr:rowOff>1613957</xdr:rowOff>
    </xdr:to>
    <xdr:graphicFrame macro="">
      <xdr:nvGraphicFramePr>
        <xdr:cNvPr id="12" name="Chart 11">
          <a:extLst>
            <a:ext uri="{FF2B5EF4-FFF2-40B4-BE49-F238E27FC236}">
              <a16:creationId xmlns:a16="http://schemas.microsoft.com/office/drawing/2014/main" id="{5D832574-1196-43D8-B6B3-A305F5E316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100660</xdr:colOff>
      <xdr:row>17</xdr:row>
      <xdr:rowOff>78791</xdr:rowOff>
    </xdr:from>
    <xdr:to>
      <xdr:col>11</xdr:col>
      <xdr:colOff>6803571</xdr:colOff>
      <xdr:row>22</xdr:row>
      <xdr:rowOff>1564818</xdr:rowOff>
    </xdr:to>
    <xdr:graphicFrame macro="">
      <xdr:nvGraphicFramePr>
        <xdr:cNvPr id="14" name="Chart 13">
          <a:extLst>
            <a:ext uri="{FF2B5EF4-FFF2-40B4-BE49-F238E27FC236}">
              <a16:creationId xmlns:a16="http://schemas.microsoft.com/office/drawing/2014/main" id="{927D499C-A406-3266-633A-0AEC9D8ED8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0</xdr:colOff>
      <xdr:row>27</xdr:row>
      <xdr:rowOff>0</xdr:rowOff>
    </xdr:from>
    <xdr:to>
      <xdr:col>21</xdr:col>
      <xdr:colOff>-1</xdr:colOff>
      <xdr:row>39</xdr:row>
      <xdr:rowOff>0</xdr:rowOff>
    </xdr:to>
    <xdr:graphicFrame macro="">
      <xdr:nvGraphicFramePr>
        <xdr:cNvPr id="11" name="Chart 10">
          <a:extLst>
            <a:ext uri="{FF2B5EF4-FFF2-40B4-BE49-F238E27FC236}">
              <a16:creationId xmlns:a16="http://schemas.microsoft.com/office/drawing/2014/main" id="{4329ED4F-32D8-4B24-9E6E-C249361EE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76196</xdr:colOff>
      <xdr:row>6</xdr:row>
      <xdr:rowOff>95248</xdr:rowOff>
    </xdr:from>
    <xdr:to>
      <xdr:col>20</xdr:col>
      <xdr:colOff>5867400</xdr:colOff>
      <xdr:row>11</xdr:row>
      <xdr:rowOff>1914522</xdr:rowOff>
    </xdr:to>
    <xdr:graphicFrame macro="">
      <xdr:nvGraphicFramePr>
        <xdr:cNvPr id="5" name="Chart 4">
          <a:extLst>
            <a:ext uri="{FF2B5EF4-FFF2-40B4-BE49-F238E27FC236}">
              <a16:creationId xmlns:a16="http://schemas.microsoft.com/office/drawing/2014/main" id="{F11B25CB-3D37-EE13-E7C9-699468FB73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76196</xdr:colOff>
      <xdr:row>17</xdr:row>
      <xdr:rowOff>95248</xdr:rowOff>
    </xdr:from>
    <xdr:to>
      <xdr:col>20</xdr:col>
      <xdr:colOff>5767914</xdr:colOff>
      <xdr:row>23</xdr:row>
      <xdr:rowOff>7938</xdr:rowOff>
    </xdr:to>
    <xdr:graphicFrame macro="">
      <xdr:nvGraphicFramePr>
        <xdr:cNvPr id="7" name="Chart 6">
          <a:extLst>
            <a:ext uri="{FF2B5EF4-FFF2-40B4-BE49-F238E27FC236}">
              <a16:creationId xmlns:a16="http://schemas.microsoft.com/office/drawing/2014/main" id="{03DB3579-B735-474F-BE6C-9D334F880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0</xdr:colOff>
      <xdr:row>42</xdr:row>
      <xdr:rowOff>0</xdr:rowOff>
    </xdr:from>
    <xdr:to>
      <xdr:col>21</xdr:col>
      <xdr:colOff>0</xdr:colOff>
      <xdr:row>68</xdr:row>
      <xdr:rowOff>0</xdr:rowOff>
    </xdr:to>
    <xdr:graphicFrame macro="">
      <xdr:nvGraphicFramePr>
        <xdr:cNvPr id="16" name="Chart 15">
          <a:extLst>
            <a:ext uri="{FF2B5EF4-FFF2-40B4-BE49-F238E27FC236}">
              <a16:creationId xmlns:a16="http://schemas.microsoft.com/office/drawing/2014/main" id="{33CF4EA4-36A0-1F34-0156-C8034B3963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142875</xdr:colOff>
      <xdr:row>14</xdr:row>
      <xdr:rowOff>158749</xdr:rowOff>
    </xdr:from>
    <xdr:to>
      <xdr:col>20</xdr:col>
      <xdr:colOff>87228</xdr:colOff>
      <xdr:row>17</xdr:row>
      <xdr:rowOff>214316</xdr:rowOff>
    </xdr:to>
    <xdr:pic>
      <xdr:nvPicPr>
        <xdr:cNvPr id="2" name="Rectangle">
          <a:extLst>
            <a:ext uri="{FF2B5EF4-FFF2-40B4-BE49-F238E27FC236}">
              <a16:creationId xmlns:a16="http://schemas.microsoft.com/office/drawing/2014/main" id="{27CDC112-4885-4710-ADE0-E95D852364C5}"/>
            </a:ext>
          </a:extLst>
        </xdr:cNvPr>
        <xdr:cNvPicPr>
          <a:picLocks noChangeAspect="1"/>
        </xdr:cNvPicPr>
      </xdr:nvPicPr>
      <xdr:blipFill>
        <a:blip xmlns:r="http://schemas.openxmlformats.org/officeDocument/2006/relationships" r:embed="rId1"/>
        <a:stretch>
          <a:fillRect/>
        </a:stretch>
      </xdr:blipFill>
      <xdr:spPr>
        <a:xfrm>
          <a:off x="10125075" y="2735262"/>
          <a:ext cx="4644940" cy="243335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157158</xdr:rowOff>
    </xdr:from>
    <xdr:to>
      <xdr:col>3</xdr:col>
      <xdr:colOff>276225</xdr:colOff>
      <xdr:row>38</xdr:row>
      <xdr:rowOff>23812</xdr:rowOff>
    </xdr:to>
    <xdr:graphicFrame macro="">
      <xdr:nvGraphicFramePr>
        <xdr:cNvPr id="2" name="Chart 1">
          <a:extLst>
            <a:ext uri="{FF2B5EF4-FFF2-40B4-BE49-F238E27FC236}">
              <a16:creationId xmlns:a16="http://schemas.microsoft.com/office/drawing/2014/main" id="{9EAC6606-3638-7B37-B7A6-6AD24A9D6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Users/anthony.baffi@southwark.gov.uk/Downloads/Risk_Register_version_2.xlsm" TargetMode="External"/><Relationship Id="rId2" Type="http://schemas.openxmlformats.org/officeDocument/2006/relationships/externalLinkPath" Target="file:///C:\Users\ab\Desktop\Fiverr_Anthony_Risk_Register\in%20work\Risk_Register_version_2.xlsm" TargetMode="External"/><Relationship Id="rId1" Type="http://schemas.openxmlformats.org/officeDocument/2006/relationships/externalLinkPath" Target="/Users/anthony.baffi@southwark.gov.uk/Downloads/Risk_Register_version_2.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Users/ab/Downloads/Programme%20Risk_Register_V5%20(1).xlsm" TargetMode="External"/><Relationship Id="rId2" Type="http://schemas.openxmlformats.org/officeDocument/2006/relationships/externalLinkPath" Target="file:///C:\Users\ab\Downloads\Programme%20Risk_Register_V5%20(1).xlsm" TargetMode="External"/><Relationship Id="rId1" Type="http://schemas.openxmlformats.org/officeDocument/2006/relationships/externalLinkPath" Target="/Users/ab/Downloads/Programme%20Risk_Register_V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KRI_KPI Overview"/>
      <sheetName val="Risk Register"/>
      <sheetName val="Risk Framework"/>
      <sheetName val="Controls Filter"/>
      <sheetName val="Monitoring Framework"/>
      <sheetName val="Montoring 2"/>
      <sheetName val="KRI Monthly Changes"/>
      <sheetName val="KPI Monthly Changes"/>
      <sheetName val="KRIs VS KPIs"/>
      <sheetName val="Dashboard"/>
      <sheetName val="KRI Table"/>
      <sheetName val="Monitoring KRIs Vs KPIs"/>
      <sheetName val="Executive Risk Dashboard"/>
      <sheetName val="KPIs Table"/>
      <sheetName val="Issues"/>
      <sheetName val="Assumptions"/>
      <sheetName val="Dependencies"/>
      <sheetName val="Pivot Tables"/>
      <sheetName val="RAD data"/>
      <sheetName val="Heat Map Report"/>
      <sheetName val="Risk matrix1"/>
      <sheetName val="Opportunities"/>
      <sheetName val="Issue data"/>
      <sheetName val="Configuration"/>
      <sheetName val="Tickmarks"/>
      <sheetName val="Risk_Register_version_2"/>
    </sheetNames>
    <sheetDataSet>
      <sheetData sheetId="0"/>
      <sheetData sheetId="1">
        <row r="8">
          <cell r="B8" t="str">
            <v>PR_0001</v>
          </cell>
        </row>
        <row r="9">
          <cell r="B9" t="str">
            <v>PR_0002</v>
          </cell>
        </row>
        <row r="10">
          <cell r="B10" t="str">
            <v>Closed - PR_0003</v>
          </cell>
        </row>
        <row r="11">
          <cell r="B11" t="str">
            <v>Closed - PR_0004</v>
          </cell>
        </row>
        <row r="12">
          <cell r="B12" t="str">
            <v>PR_0005</v>
          </cell>
        </row>
        <row r="13">
          <cell r="B13" t="str">
            <v>PR_0006</v>
          </cell>
        </row>
        <row r="14">
          <cell r="B14" t="str">
            <v>Closed - PR_0007</v>
          </cell>
        </row>
        <row r="15">
          <cell r="B15" t="str">
            <v>PR_0008</v>
          </cell>
        </row>
        <row r="16">
          <cell r="B16" t="str">
            <v>Closed - PR_0009</v>
          </cell>
        </row>
        <row r="17">
          <cell r="B17" t="str">
            <v>PR_0010</v>
          </cell>
        </row>
        <row r="18">
          <cell r="B18" t="str">
            <v>PR_0011</v>
          </cell>
        </row>
        <row r="19">
          <cell r="B19" t="str">
            <v>Closed - PR_0012</v>
          </cell>
        </row>
        <row r="20">
          <cell r="B20" t="str">
            <v>PR_0013</v>
          </cell>
        </row>
        <row r="21">
          <cell r="B21" t="str">
            <v>Closed - PR_0014</v>
          </cell>
        </row>
        <row r="22">
          <cell r="B22" t="str">
            <v>PR_0015</v>
          </cell>
        </row>
        <row r="23">
          <cell r="B23" t="str">
            <v>Closed - PR_0016</v>
          </cell>
        </row>
        <row r="24">
          <cell r="B24" t="str">
            <v>PR_0017</v>
          </cell>
        </row>
        <row r="25">
          <cell r="B25" t="str">
            <v>Closed - PR_0018</v>
          </cell>
        </row>
        <row r="26">
          <cell r="B26" t="str">
            <v>PR_0019</v>
          </cell>
        </row>
        <row r="27">
          <cell r="B27" t="str">
            <v>PR_0020</v>
          </cell>
        </row>
        <row r="28">
          <cell r="B28" t="str">
            <v>Closed - PR_0021</v>
          </cell>
        </row>
        <row r="29">
          <cell r="B29" t="str">
            <v>Closed - PR_0022</v>
          </cell>
        </row>
        <row r="30">
          <cell r="B30" t="str">
            <v>PR_0023</v>
          </cell>
        </row>
        <row r="31">
          <cell r="B31" t="str">
            <v>PR_0024</v>
          </cell>
        </row>
        <row r="32">
          <cell r="B32" t="str">
            <v>Closed - PR_0025</v>
          </cell>
        </row>
        <row r="33">
          <cell r="B33" t="str">
            <v>Closed - PR_0026</v>
          </cell>
        </row>
        <row r="34">
          <cell r="B34" t="str">
            <v>PR_0027</v>
          </cell>
        </row>
        <row r="35">
          <cell r="B35" t="str">
            <v>PR_0028</v>
          </cell>
        </row>
        <row r="36">
          <cell r="B36" t="str">
            <v>PR_0029</v>
          </cell>
        </row>
        <row r="37">
          <cell r="B37" t="str">
            <v>PR_0030</v>
          </cell>
        </row>
        <row r="38">
          <cell r="B38" t="str">
            <v>Closed - PR_0031</v>
          </cell>
        </row>
        <row r="39">
          <cell r="B39" t="str">
            <v>Closed - PR_0032</v>
          </cell>
        </row>
        <row r="40">
          <cell r="B40" t="str">
            <v>PR_0033</v>
          </cell>
        </row>
      </sheetData>
      <sheetData sheetId="2"/>
      <sheetData sheetId="3"/>
      <sheetData sheetId="4"/>
      <sheetData sheetId="5"/>
      <sheetData sheetId="6"/>
      <sheetData sheetId="7"/>
      <sheetData sheetId="8"/>
      <sheetData sheetId="9">
        <row r="6">
          <cell r="N6" t="str">
            <v>MISALIGNED</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Risks"/>
      <sheetName val="Issues"/>
      <sheetName val="Risk Framework"/>
      <sheetName val="Controls Filter"/>
      <sheetName val="Monitoring Framework"/>
      <sheetName val="Montoring 2"/>
      <sheetName val="KRI Monthly Changes"/>
      <sheetName val="KPI Monthly Changes"/>
      <sheetName val="KRI Table"/>
      <sheetName val="Monitoring KRIs Vs KPIs"/>
      <sheetName val="Executive Risk Dashboard"/>
      <sheetName val="KPIs Table"/>
      <sheetName val="Assumptions"/>
      <sheetName val="Dependencies"/>
      <sheetName val="Dashboard"/>
      <sheetName val="KRIs VS KPIs"/>
      <sheetName val="KRI_KPI Overview"/>
      <sheetName val="Guide"/>
      <sheetName val="Pivot_table"/>
      <sheetName val="Heat Map Report"/>
      <sheetName val="Risk matrix1"/>
      <sheetName val="RAD data"/>
      <sheetName val="Issue data"/>
      <sheetName val="Opportunities"/>
      <sheetName val="Tickmarks"/>
      <sheetName val="Programme Risk_Register_V5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Withers, Siobhán" id="{2958DD44-267E-4FF0-A506-F4280539F685}" userId="S::Siobhan.Withers@SOUTHWARK.GOV.UK::c9f9180a-9e8d-47f3-a167-0085b965326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thony Baafi" refreshedDate="46090.397559375" createdVersion="8" refreshedVersion="8" minRefreshableVersion="3" recordCount="60" xr:uid="{401213FE-AEFB-48AF-AED0-AB97F994DD12}">
  <cacheSource type="worksheet">
    <worksheetSource name="RISK_table"/>
  </cacheSource>
  <cacheFields count="31">
    <cacheField name="Risk ref" numFmtId="0">
      <sharedItems containsBlank="1"/>
    </cacheField>
    <cacheField name="Workstream" numFmtId="0">
      <sharedItems containsBlank="1" count="27">
        <s v="Resourcing"/>
        <s v="Reputational"/>
        <s v="Corporate Risk"/>
        <s v="Corporate Risk_x000a_"/>
        <s v="Corporate Risk "/>
        <s v="Regulatory &amp; Compliance" u="1"/>
        <s v="Resource Resilience" u="1"/>
        <s v="Delivery Performance" u="1"/>
        <s v="Financial Viability" u="1"/>
        <s v="Supply Chain &amp; Safety" u="1"/>
        <s v="Stakeholder Confidence" u="1"/>
        <s v="Technical Integration" u="1"/>
        <s v="Strategic Alignment" u="1"/>
        <s v="Community Performance" u="1"/>
        <m u="1"/>
        <s v="The workstream with which the risk is associated " u="1"/>
        <s v="Environment &amp; Sustainability" u="1"/>
        <s v="Commercial Performance" u="1"/>
        <s v="Environmental &amp; Sustainability" u="1"/>
        <s v="Supply Chain Stability" u="1"/>
        <s v="Programme" u="1"/>
        <s v="Sales &amp; Marketing" u="1"/>
        <s v="Financial" u="1"/>
        <s v="Political / Reputational" u="1"/>
        <s v="Political" u="1"/>
        <s v="Health &amp; Safety" u="1"/>
        <s v="Future Programme" u="1"/>
      </sharedItems>
    </cacheField>
    <cacheField name="Linked KRI" numFmtId="0">
      <sharedItems/>
    </cacheField>
    <cacheField name="Date Added to Risk Register" numFmtId="0">
      <sharedItems containsNonDate="0" containsDate="1" containsString="0" containsBlank="1" minDate="2026-02-28T00:00:00" maxDate="2026-03-01T00:00:00"/>
    </cacheField>
    <cacheField name="Risk Description and Impact" numFmtId="0">
      <sharedItems longText="1"/>
    </cacheField>
    <cacheField name="RISK CAUSE &amp; EFFECT" numFmtId="0">
      <sharedItems longText="1"/>
    </cacheField>
    <cacheField name="Category" numFmtId="0">
      <sharedItems containsBlank="1"/>
    </cacheField>
    <cacheField name="Impact_x000a_1 to 5" numFmtId="49">
      <sharedItems containsSemiMixedTypes="0" containsString="0" containsNumber="1" containsInteger="1" minValue="4" maxValue="5"/>
    </cacheField>
    <cacheField name="Likelihood_x000a_1 to 5" numFmtId="49">
      <sharedItems containsSemiMixedTypes="0" containsString="0" containsNumber="1" containsInteger="1" minValue="3" maxValue="5"/>
    </cacheField>
    <cacheField name="RISK SCORE" numFmtId="0">
      <sharedItems/>
    </cacheField>
    <cacheField name="Risk response" numFmtId="0">
      <sharedItems containsNonDate="0" containsString="0" containsBlank="1"/>
    </cacheField>
    <cacheField name="Risk controls (mitigation)" numFmtId="0">
      <sharedItems longText="1"/>
    </cacheField>
    <cacheField name="Control Owner_x000a_(by exception)" numFmtId="0">
      <sharedItems containsNonDate="0" containsString="0" containsBlank="1"/>
    </cacheField>
    <cacheField name="Impact_x000a_1 to 52" numFmtId="0">
      <sharedItems containsSemiMixedTypes="0" containsString="0" containsNumber="1" containsInteger="1" minValue="3" maxValue="5"/>
    </cacheField>
    <cacheField name="Likelihood_x000a_1 to 53" numFmtId="0">
      <sharedItems containsSemiMixedTypes="0" containsString="0" containsNumber="1" containsInteger="1" minValue="2" maxValue="5"/>
    </cacheField>
    <cacheField name="New RISK SCORE" numFmtId="0">
      <sharedItems/>
    </cacheField>
    <cacheField name="Risk Appetite" numFmtId="0">
      <sharedItems/>
    </cacheField>
    <cacheField name="FURTHER ACTION REQUIRED" numFmtId="0">
      <sharedItems containsBlank="1" longText="1"/>
    </cacheField>
    <cacheField name="Current Status" numFmtId="0">
      <sharedItems containsNonDate="0" containsString="0" containsBlank="1"/>
    </cacheField>
    <cacheField name="Due Date" numFmtId="14">
      <sharedItems containsNonDate="0" containsDate="1" containsString="0" containsBlank="1" minDate="2026-02-26T00:00:00" maxDate="2026-02-27T00:00:00"/>
    </cacheField>
    <cacheField name="ESCALATED TO PROGRAMME RISK REGISTER" numFmtId="14">
      <sharedItems containsNonDate="0" containsString="0" containsBlank="1"/>
    </cacheField>
    <cacheField name="RISK OWNER" numFmtId="0">
      <sharedItems/>
    </cacheField>
    <cacheField name="Gross Impact (£)" numFmtId="6">
      <sharedItems containsSemiMixedTypes="0" containsString="0" containsNumber="1" containsInteger="1" minValue="50001" maxValue="100000"/>
    </cacheField>
    <cacheField name="Gross Likelihood (probability / frequency)" numFmtId="0">
      <sharedItems containsSemiMixedTypes="0" containsString="0" containsNumber="1" minValue="0.6" maxValue="1"/>
    </cacheField>
    <cacheField name="Gross ALE" numFmtId="6">
      <sharedItems containsSemiMixedTypes="0" containsString="0" containsNumber="1" minValue="30000.6" maxValue="80000"/>
    </cacheField>
    <cacheField name="Residual Impact (£)" numFmtId="6">
      <sharedItems containsSemiMixedTypes="0" containsString="0" containsNumber="1" containsInteger="1" minValue="50000" maxValue="50014"/>
    </cacheField>
    <cacheField name="Residual Likelihood (probability / frequency)" numFmtId="0">
      <sharedItems containsSemiMixedTypes="0" containsString="0" containsNumber="1" minValue="0.4" maxValue="1"/>
    </cacheField>
    <cacheField name="Residual ALE" numFmtId="6">
      <sharedItems containsSemiMixedTypes="0" containsString="0" containsNumber="1" minValue="20000.400000000001" maxValue="50006"/>
    </cacheField>
    <cacheField name="Risk Reduction" numFmtId="6">
      <sharedItems containsSemiMixedTypes="0" containsString="0" containsNumber="1" minValue="0" maxValue="50000"/>
    </cacheField>
    <cacheField name="Risk Reduction (%)" numFmtId="9">
      <sharedItems containsSemiMixedTypes="0" containsString="0" containsNumber="1" minValue="0" maxValue="0.625"/>
    </cacheField>
    <cacheField name="Source_File" numFmtId="6">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PR_0005"/>
    <x v="0"/>
    <s v="Programme Financial Sustainability KRI"/>
    <d v="2026-02-28T00:00:00"/>
    <s v="Failure to deliver a sustainable Financial Strategy which meets with Making Bromley Even Better priorities and failure of individual departments to meet budget _x000a__x000a_"/>
    <s v="Cause(s):_x000a_1. The Council Tax Report 2025/26 Budget (including future years financial forecast) reported to Executive on 12th February 2025 identified the need to reduce the Council's future years 'budget gap'.   _x000a_2. The Government has consulted on its review of the existing local government finance system (now known as Fair Funding 2.0) is expected to be implemented from  2026/27 and is expected to result in real terms reduction in future funding over the next three years. The significant levels of cost/growth pressures relating to SEN, social care and homelessness continue and there remains uncertainty relating to future cost increases arising from service inflation for some time. These factors can have a significant impact on the future years'  'budget gap'. An update on the latest financial forecast position is being reported to Executive in September. _x000a_3. Failure to meet departmental budgets due to increased demand on key services resulting in overspends: housing (homelessness and cost of bed and breakfast); adult social care (demographic changes including ageing population); children's social care,  education (central costs, high needs transport and DSG deficit), waste (growing number of households), Dedicated Schools Grant deficit increases and limited delivery of planned mitigation savings._x000a_4. New capital schemes may be required with the associated revenue impact (including financing) adding to the Council's 'budget gap' to meet._x000a_5. Dependency on external grants to fund services (schools and housing benefits are ring-fenced) - effect if specific grants reduce or cease._x000a_6. Increases in national living wage will have cost implications to the Council over the next few years (e.g. care providers and carers).  _x000a_7. Local government may be required to take on new funding responsibilities in the future without adequate funding._x000a_8. Ongoing risk of inflation exceeding Bank of England inflation target levels._x000a_9. Failure to identify and highlight frauds and weaknesses in the system of internal control (which invariably have a financial impact). Overall, identified fraud losses are mainly benefit related (Council Tax Support / Single Person Discount)._x000a__x000a_Effect(s):_x000a_1. Increased overspends in particular services_x000a_2. Council unable to carry out its statutory duties due to services cuts_x000a_3. Reputational damage_x000a_4. Risk of having to seek Exceptional Financial Support (EFS) or ultimately a Section 114 notice  _x000a_"/>
    <s v="Finance_x000a__x000a_Financial"/>
    <n v="5"/>
    <n v="4"/>
    <s v="Severe"/>
    <m/>
    <s v=" - Regular update to forward forecast_x000a_- Regular analysis of funding changes and new burdens including full year impact                                                                                                                _x000a_- Transformation options considered early in the four year forward planning period_x000a_- Budget monitoring to include action from relevant Director to address overspends including action to address any full year additional cost_x000a_- Mitigation of future cost pressures including demographic changes_x000a_ - Quarterly review of growth pressures and mitigation_x000a_- Growth Reduction Board chaired by Chief Executive  "/>
    <m/>
    <n v="5"/>
    <n v="3"/>
    <s v="Severe"/>
    <s v="Severe"/>
    <s v="_x000a_'The Council continues to explore transformation opportunities to help meet the ongoing budget gap._x000a_Chief Officers will explore further measures to help reduce the overspend in 2025/26 as reported to Executive in September."/>
    <m/>
    <d v="2026-02-26T00:00:00"/>
    <m/>
    <s v="Strategic Director"/>
    <n v="100000"/>
    <n v="0.8"/>
    <n v="80000"/>
    <n v="50000"/>
    <n v="0.6"/>
    <n v="30000"/>
    <n v="50000"/>
    <n v="0.625"/>
    <e v="#N/A"/>
  </r>
  <r>
    <s v="PR_0006"/>
    <x v="1"/>
    <s v="Strategic Objectives &amp; Adaptability KRI"/>
    <m/>
    <s v="Ineffective governance and management of contracts and procurement_x000a_"/>
    <s v="Cause(s): _x000a_1. Lack of awareness and/or non-compliance with Procurement Act 2023, Public Contracts Regulations 2015,  Provider Selection Regime and Councils Contract Procedure Rules._x000a_2. Lack of awareness and/or non-compliance with decision making and scrutiny requirements._x000a_3. Insufficient engagement with key support services such as Corporate Procurement, Finance and Legal._x000a_4. Poor planning / lack of timely action for commissioning and procurement activities._x000a_5. Poor record keeping of contracts and contract documentation._x000a_6. Insufficient or unclear arrangements for client side contract management and monitoring resource._x000a_7. Failure to undertake a suitable and proportionate contract management and monitoring plan._x000a_8. Failure of a contractor / partner / provider to maintain agreed service levels resulting in an interruption to or deterioration of service delivery._x000a__x000a_Effect(s):_x000a_- Failure to ensure Value for Money_x000a_- Procurement challenges / complaints leading to delays and potential additional costs_x000a_- Reputational risk_x000a_- Service disruptions_x000a_- Contracts do not deliver expected outcomes or deliver sufficient quality_x000a_- Increased cost and resource to manage contract issues_x000a_- Failure to achieve our Making Bromley Even Better priorities."/>
    <s v="Contract Management_x000a__x000a_Contractual and Partnership "/>
    <n v="4"/>
    <n v="3"/>
    <s v="Major"/>
    <m/>
    <s v="- Gateway process to support and record all relevant procurement decisions_x000a_- Contract Procedure Rules and regular Practice / Guidance notes to all Contract Owners_x000a_- Review of contract management and contract monitoring controls including any issues identified by internal audit_x000a_- Contracts Database and Quarterly Contracts Database Report to all relevant Committees_x000a_- Quarterly RAG rated contract reports to COE/CLT with individual reports to Contract Owners_x000a_- Procurement Board oversight_x000a_- Member scrutiny including regular Contract Monitoring Reports for £500k+ contracts_x000a_- Regular programme of training delivery to staff_x000a_- Quarterly Contract Owners meetings"/>
    <m/>
    <n v="4"/>
    <n v="2"/>
    <s v="Major"/>
    <s v="Severe"/>
    <s v="- Procurement Pipeline to support forward planning and to meet new statutory requirements.  Bi-annual.  First publication by Summer 2025 (COMPLETED)._x000a_- Completion of Procurement Act 2023 national L&amp;D programme by October 2024 for all Procurement and Legal Contracts officers (COMPLETED). Training offered to all Contract Owners (COMPLETED)._x000a_- Review of all documentation to ensure compliance with Procurement Act 2023.  New documentation in place and constant review based on lessons learned and further guidance received (COMPLETED)._x000a_- Update and adoption of revised Contract Procedure Rules.  In progress with finalisation expected in Summer 2025 (COMPLETED)._x000a_- Review and updating of Contract Management library, tools, resources and processes.  In progress with completion in 2025_x000a_- Regular review of Third Party Spend, identification of any strategic procurement and process issues and follow up for remedial action and key messaging_x000a_- ongoing and repeated high profile key messaging across the Council and monitoring of compliance_x000a_"/>
    <m/>
    <m/>
    <m/>
    <s v="Strategic Lead B"/>
    <n v="50001"/>
    <n v="0.6"/>
    <n v="30000.6"/>
    <n v="50001"/>
    <n v="0.4"/>
    <n v="20000.400000000001"/>
    <n v="10000.199999999997"/>
    <n v="0.33333333333333326"/>
    <e v="#N/A"/>
  </r>
  <r>
    <s v="PR_0007"/>
    <x v="2"/>
    <s v="Strategic Objectives &amp; Adaptability KRI"/>
    <m/>
    <s v="Failure to maintain and develop ICT information systems to reliably support departmental service delivery_x000a_"/>
    <s v="Cause(s): _x000a_1. Some information systems not fully fit for future business purpose_x000a_2. Insufficient capacity and skill within Corporate IT and services to maintain and support systems during a period of significant change and in the future, including for individual systems _x000a_3. Increasing reliance on stability of ICT infrastructure in all areas of the Council (Lync telephony service). _x000a_4. Council website now a major channel for the delivery of services (Pay for it, Apply for it, Report it). - (Phase 2 upgrade of website planned) _x000a_6. IT failure impacting on critical operational systems._x000a_7. Over the next 3 years we will need to undertake gateway reviews / procurement plans for Council's business critical systems for example, Uniform, Housing info system and Education's Capita One system plus the main LBB website_x000a_8. Transfer of IT contract to a provider following procurement process_x000a_9. Potential risk in transferring from one site to another if there is lack of adequate support and sufficient timeframe_x000a__x000a_Effect(s):_x000a_1. Service disruptions_x000a_2. Inability to access key systems_x000a_3. Reputational damage_x000a_4. Inability to support organisation change and savings targets_x000a_5. Failure to achieve our MBEB priorities."/>
    <s v="ICT_x000a__x000a_Data and Information _x000a__x000a_Technological "/>
    <n v="4"/>
    <n v="3"/>
    <s v="Major"/>
    <m/>
    <s v="Robust backup arrangements in the new accommodation _x000a_Enhanced antivirus/cyber security._x000a_tested system restoration arrangements. _x000a_Cloud migration project_x000a_New contract_x000a_Accommodation better equipped to support resilience"/>
    <m/>
    <n v="4"/>
    <n v="2"/>
    <s v="Major"/>
    <s v="Severe"/>
    <s v="Review data storage /hosting arrangements._x000a_Completion of cloud migration, office accommodation, contract procurement and award   _x000a__x000a_"/>
    <m/>
    <m/>
    <m/>
    <s v="Strategic Lead A"/>
    <n v="50002"/>
    <n v="0.6"/>
    <n v="30001.199999999997"/>
    <n v="50002"/>
    <n v="0.4"/>
    <n v="20000.800000000003"/>
    <n v="10000.399999999994"/>
    <n v="0.33333333333333315"/>
    <e v="#N/A"/>
  </r>
  <r>
    <s v="PR_0008"/>
    <x v="2"/>
    <s v="Supply Chain &amp; Safety Performance KRI"/>
    <m/>
    <s v="IT Security Failure_x000a_"/>
    <s v="Cause(s):_x000a_Failure of IT Security (responsibility across Bromley &amp; BT) to manage risk of attack or intrusion leading to potential corruption / loss of data / loss of systems_x000a_Failure of System manager  where Digital &amp; iT service (including BT) do not manage the system)_x000a_Failure to comply with relevant legislation (GDPR)_x000a_Failure to ensure the confidentiality, integrity, and availability of information assets._x000a__x000a_Effect(s):_x000a_1. Distress and/or physical impact on wellbeing of customers_x000a_2. Impact on operational integrity_x000a_3. Reputational damage to services and the authority as a whole_x000a_4. Liability in law_x000a_5. Economic damage to authority and/or customers_x000a_6. Impact on service take up due to reduced confidence from the public"/>
    <s v="ICT_x000a__x000a_Data and Information _x000a__x000a_Technological "/>
    <n v="5"/>
    <n v="4"/>
    <s v="Severe"/>
    <m/>
    <s v=" -Application of effective security management including effective application of anti- virus protection and security measures through the IT Contract with BT_x000a_- Regular Penetration Testing undertaken_x000a_- Information Security Team in place_x000a_- Patch updates undertaken regularly_x000a_- LBB is currently compliant with the Public Services Network Code of Connection (PSN CoCo), DSP Toolkit and PCI-DSS (Payment Card Industry standards)_x000a_The LBB Corporate Leadership Team formally accept the above certifications  as the basis of LBB's internal information governance and security program.  These standards are based on the ISO27001 international best practice and NCSC guidance for managing information security and are therefore fit for purpose for assessing and managing the Council's information risk_x000a_- GDPR Training programme in place_x000a_- Induction programme in place_x000a_- Additional resources to manage risks_x000a_- Security Operation Centre(SOC) has been implemented which proactively monitor of the LBB Data and Infrastructure."/>
    <m/>
    <n v="5"/>
    <n v="3"/>
    <s v="Severe"/>
    <s v="Severe"/>
    <s v=" - Review AI Policy_x000a__x000a_- Cyber Assessment Framework Stage 1 complete (action to remediate 2 findings by end of October 2025):_x000a_  &gt; Implement robust testing of disaster recovery and business continuity plans -  kick-off planning meeting scheduled for 6th August 2025_x000a__x000a_- Cyber Assessment Stage 2 _x000a_  &gt; Critical system assessment and incident response review is underway with a target cmpletion of 30th September 2025._x000a__x000a_ - Two Audits undertaken by Mazars complete (action to remediate findings):_x000a_First Report - Governance and Risk_x000a_  &gt; Sign off of Cyber Secuirty Risk Appetite_x000a_  &gt; Implement robust adherance to mandatory security and governanance training - HR now offer security and data protection training on Evolve.  The Head of Security &amp; Information Management has reviewed and amended the packages (March 2025).  HR need to now ensure that they are robustly promoting the training and reporting on compliance.  _x000a__x000a_  &gt; The second report, Key IT and Security Controls, has been issued:_x000a_  &gt; Hiring Managers are not consistently notifying IT when an officer leaves the Council - Work is in progress to design a new Joiners. Movers, Leavers and Identity Management solution._x000a_   2) Engagement with BT required to ensure that the leavers process is being carried out consistently with enhancements to the leavers Bring Your Own Device (BYOD) process._x000a__x000a_- Upgrade out of support mobile phones and iPad models"/>
    <m/>
    <m/>
    <m/>
    <s v="Strategic Lead C"/>
    <n v="50003"/>
    <n v="0.8"/>
    <n v="40002.400000000001"/>
    <n v="50003"/>
    <n v="0.6"/>
    <n v="30001.8"/>
    <n v="10000.600000000002"/>
    <n v="0.25000000000000006"/>
    <e v="#N/A"/>
  </r>
  <r>
    <s v="PR_0009"/>
    <x v="2"/>
    <s v="Programme Delivery Excellence KRI"/>
    <m/>
    <s v="Failure to maintain robust Business Continuity and Emergency Planning arrangements_x000a_"/>
    <s v="Cause(s): _x000a_1. Insufficient Emergency Planning structure and processes_x000a_2. Insufficient Business Continuity arrangements and procedures, including those of key suppliers_x000a_3. Failure to fulfil obligations under the Civil Contingencies Act 2004 as a Category One Responder_x000a_4. Inadequate partnership working and collaboration_x000a_5. Lack of buy in from senior officers _x000a_6. Lack of testing and exercising of plans and processes_x000a__x000a_Effect(s):_x000a_1. Ineffective response to an emergency / business disruption _x000a_2.Significantly prolonged service disruptions _x000a_3. Reputational damage / loss of credibility _x000a_4. Increased costs to rectify disruptions_x000a_5. Injury / harm _x000a_6. Failure to fulfil statutory duties in a timely manner_x000a_"/>
    <s v="Business Continuity_x000a__x000a_Physical_x000a__x000a_Reputational "/>
    <n v="4"/>
    <n v="3"/>
    <s v="Major"/>
    <m/>
    <s v="- Corporate business continuity management programme established_x000a_- Full suite of Business Continuity plans in place at service level across all Directorates_x000a_- Overarching Corporate Business Continuity plan developed identifying prioritisation of all services_x000a_- Corporate Major Emergency Response plan in place_x000a_- On call rota for Emergency Response Manager and at Director level_x000a_- Ongoing training, testing and exercising programme_x000a_- Continued delivery of the Business Continuity Management Process by CLT"/>
    <m/>
    <n v="3"/>
    <n v="3"/>
    <s v="Major"/>
    <s v="Severe"/>
    <s v="1. Learning from corporate testing and exercising programme embedded into review of service BCP plans taking place between May and September 24_x000a_2. Development of this year’s corporate testing and exercising programme to further embed BC practices across the organisation will take place in December 24 to February 25."/>
    <m/>
    <m/>
    <m/>
    <s v="Director of Environment and Public Protection"/>
    <n v="50004"/>
    <n v="0.6"/>
    <n v="30002.399999999998"/>
    <n v="50004"/>
    <n v="0.6"/>
    <n v="30002.399999999998"/>
    <n v="0"/>
    <n v="0"/>
    <e v="#N/A"/>
  </r>
  <r>
    <s v="PR_0010"/>
    <x v="2"/>
    <s v="Resource &amp; Capability Adequacy KRI"/>
    <m/>
    <s v="Failure to deliver effective Children's services _x000a_The Council is unable to deliver an effective children's service to fulfil its statutory obligations in safeguarding and protect those at risk of significant harm or death, sexual exploitation or missing from care"/>
    <s v="Cause(s):_x000a_1. Inability to recruit and retain sufficient numbers of staff to carry out statutory duties across the division to manage current levels of demand.                                                                                                                                                                                                      2. Budget pressures result in challenges to fulilling statutory obligations._x000a_ _x000a__x000a_Effect(s):_x000a_1. Impact on life chances and outcomes for children._x000a_2. Adverse inspection leading to reputational damage and further operational difficulties (staff leave etc)."/>
    <s v="Children's Social Care_x000a__x000a_Legal, Reputational "/>
    <n v="5"/>
    <n v="3"/>
    <s v="Severe"/>
    <m/>
    <s v=" - Multi Agency Bromley Children's Safeguarding Partnership (BCSP) Training programme 2023/24 has been agreed.                                                                                                                                                                                                        - Regular Budget monitoring sessions including Director of Finance and Assistant Director of Finance to to monitor spend and projected costs. _x000a_- Dedicated HR programme of support in place to recruit social workers to front line posts. We have recently reviewed social media publicity/&quot;Refer a Friend&quot; scheme to ensure we have a broad and comprehensive approach.  We are also currently actively recruiting from overseas. _x000a_- Scrutiny of Performance Management Framework and Indicators. _x000a_- Effective procurement framework and contract monitoring arrangements to ensure acceptable quality of service provision and value for money._x000a_- Quality Assurance Audit Programme continues to be in place. We have also added &quot;Dip Sampling&quot; of cases to the ways in which we are auditing quality of practice._x000a_- Children’s Service Practice Improvement Board; this meeting continues to be the key forum for discussing and evaluating the quality of practice.   _x000a_- Continued monitoring of caseloads to keep these in line with the Bromley Caseload Promise. _x000a_- Identified training plan for qualified social workers and other professionals reviewed and updated quarterly."/>
    <m/>
    <n v="5"/>
    <n v="2"/>
    <s v="Major"/>
    <s v="Severe"/>
    <s v="- Robust audit cycle in place. Demand Management forcasts informing MTFS   "/>
    <m/>
    <m/>
    <m/>
    <s v="Director of Children's Services"/>
    <n v="50005"/>
    <n v="0.6"/>
    <n v="30003"/>
    <n v="50005"/>
    <n v="0.4"/>
    <n v="20002"/>
    <n v="10001"/>
    <n v="0.33333333333333331"/>
    <e v="#N/A"/>
  </r>
  <r>
    <s v="PR_0011"/>
    <x v="2"/>
    <s v="Strategic Objectives &amp; Adaptability KRI"/>
    <m/>
    <s v="Temporary Accommodation _x000a_Inability to effectively manage the volume of people presenting themselves as homeless and the additional pressures placed on the homeless budgets. Rising cost of placements. "/>
    <s v="Cause(s): _x000a_1. Continued subsidy freeze on TA subsidy rates  _x000a_2. Rising numbers of placements (approx. 15 per month)  _x000a_3. Further reductions to local affordable sustainable options _x000a_4. Rising energy and other costs mean households are facing increasing risk of homelessness_x000a_5. Uncertainty around the impact of move on requirements for schemes such as Homes for Ukraine, Afghanistan resettlement programme_x000a_6. Withdrawal of number of private landlords and housing providers from the TA market. _x000a_7. Market reaction to interest rates, response to inflation rates, and proposed changes to legislation leading to reduction in supply._x000a_8. Reaction to supply and demand leading to increased costs_x000a_9. Increased pressure securing accommodation as a result of competition from others   _x000a__x000a_Effect(s):_x000a_1. Failure to fulfil statutory obligations _x000a_2. Impact on life chances and outcomes for individuals and families in temporary accommodation  _x000a_3. Increased risk of legal challenge due to accommodation and increased risk of Out of Borough Placements_x000a_4. Increased risk of legal challenge due to provision of accommodation (including shared accommodation and commercial hotels) _x000a_5. Pressure on other services _x000a_6. Increase in the number of out of borough placements_x000a_7. Increased length of stay in TA due to less move on opportunities_x000a_8. Costs cannot be contained within budget"/>
    <s v="Housing _x000a__x000a_Social"/>
    <n v="5"/>
    <n v="5"/>
    <s v="Severe"/>
    <m/>
    <s v="- Focus on preventing homelessness and diversion to alternative housing options through:- _x000a_- Landlord and Tenancy advice, support and sustainment_x000a_- Assistance, (including financial aid) to access the private rented sector _x000a_- Access to employment and training _x000a_- Debt, money, budgeting and welfare benefits advice, including assistance to resolve rent and mortgage arrears _x000a_- Sanctuary scheme for the protection of victims of domestic violence _x000a_- Effective contract monitoring arrangements to ensure acceptable quality of service provision and value for money  - _x000a_ - Development of social housing on LBB sites and implementation of Meadowship Homes acquisition _x000a_- Implementing the Homelessness Strategy - setting up the multi agency Homelessness forum and taking forward the priorities of the strategy_x000a_- New incentive campaign for private sector landlords embedded and benefits being realised _x000a_"/>
    <m/>
    <n v="4"/>
    <n v="5"/>
    <s v="Severe"/>
    <s v="Severe"/>
    <s v=" Phase 2 of meadowship homes property acqusition now live. Approval to progress with a further 3 housing sites under the LBB affordable housing delivery programme_x000a_- ongoing conversion of tenancies in the More Homes Bromley scheme from temporary to permanent_x000a_- Review requirement for block bookings to ensure sufficient TA supply  _x000a_- Progress counter fraud work on TA properties and explore joint fraud working with social landlords to ensure properties are occupied by intended clients._x000a_- Pursue additional grant funding to increase affordable housing supply through development acquisition and empty homes_x000a_ - Explore whether, when accommodation is lost, the Council can take on these properties instead_x000a_ - Undertake a review of arrangements with Housing Association partners to look at potential to increase number of nominations and make best use of existing housing stock"/>
    <m/>
    <m/>
    <m/>
    <s v="Director of Housing, Planning and Regeneration"/>
    <n v="50006"/>
    <n v="1"/>
    <n v="50006"/>
    <n v="50006"/>
    <n v="1"/>
    <n v="50006"/>
    <n v="0"/>
    <n v="0"/>
    <e v="#N/A"/>
  </r>
  <r>
    <m/>
    <x v="2"/>
    <s v="Programme Delivery Excellence KRI"/>
    <m/>
    <s v="Failure to deliver the Transforming Bromley Programme "/>
    <s v="Cause(s):_x000a_1. Failure to identify and put forward sufficient transformation proposals required to deliver a balanced budget in the Medium Term Financial Strategy_x000a_2. Failure to deliver appropriate mitigation of existing projected growth pressures within the financial forecast_x000a_3. Failure to appropriately resource each Transforming Bromley workstream with sufficient project support and subject matter expertise to enable the identification of proposals_x000a_4. Insufficient management oversight and governance arrangements to shape the delivery of proposals to enable Member decision making and inform budget setting for each financial year_x000a_5. Insufficient consultation and engagement with relevant stakeholders to ensure the successful delivery of proposals. _x000a_6. Additional demand pressures on council services._x000a__x000a_Effect(s)_x000a_- Inability to address the Council’s budget gap._x000a_- Unable to meet key commitments of the Medium Term Financial Strategy_x000a__x000a_"/>
    <s v="Finance_x000a__x000a_Financial"/>
    <n v="5"/>
    <n v="4"/>
    <s v="Severe"/>
    <m/>
    <s v="1. Robust governance process: fortnightly meetings of the Transformation Board, chaired by the Chief Executive and attended by Chief Officers_x000a_2. Each Transformation Board workstream attends the Transformation Board  before proposals are reviewed by Cabinet/Directors, PDS Committees and the Executive. _x000a_3. Each Transformation workstream has appropriate resources to successfully deliver proposals_x000a_4. Monthly Transformation newsletter in place to appropriately engage with key stakeholders _x000a_5. Where transformation proposals have public law implications, an appropriate assessment is carried out and stakeholders are engaged, including Procurement and Legal Services._x000a_6. Each Chief Officer gives an update at their respective PDS Committee(s) on Transformation progress _x000a_7. Transformation Fund supports the successful delivery of transformation proposals subject to a suitable business case being provided_x000a_8. A review of core statutory minimum service requirements took place to enable each service area to identify where potential savings could be and to evidence that where discretionary services are delivered. They are done so on a cost-recovery basis and/or they reduce long-term dependency on higher levels of statutory intervention which generate longer term growth pressures for the Council_x000a_9. All relevant proposals will be submitted to the Executive to inform budget setting for MTFS._x000a_10. Finance provide assurances through budget monitoring to ensure that agreed mitigation and transformation programmes are on track to deliver the savings identified. Where Directors declare a deviation from the plan, alternative proposals are sought for approval. "/>
    <m/>
    <n v="5"/>
    <n v="3"/>
    <s v="Severe"/>
    <s v="Severe"/>
    <s v="A new Transformation Plan for 2024-28 was launched in April 2024, with staff engagement._x000a__x000a_Proposals being developed for key decisions and scrutiny as necessary between October – December 2024. Options under the wide umbrella of ‘Transforming Bromley’ include improving productivity, modernisation, reducing waste, taking a graduated approach to service thresholds leading to a reduction in statutory demand, using data to review and redesign in-house and commissioned services and service reductions. Staff continue to be briefed on the programme and engaged to ensure that they are able to influence the change programme with their experiences._x000a__x000a_If growth/cost pressures continue, decisions associated to the Transformation Programme are likely to have an impact on the delivery of services to our residents and service users. "/>
    <m/>
    <m/>
    <m/>
    <s v="Chief Executive"/>
    <n v="50007"/>
    <n v="0.8"/>
    <n v="40005.600000000006"/>
    <n v="50007"/>
    <n v="0.6"/>
    <n v="30004.199999999997"/>
    <n v="10001.400000000009"/>
    <n v="0.25000000000000017"/>
    <e v="#N/A"/>
  </r>
  <r>
    <m/>
    <x v="3"/>
    <s v="Programme Financial Sustainability KRI"/>
    <m/>
    <s v="Climate Change_x000a_Failure to adapt the borough and Council services to our changing climate "/>
    <s v="Cause(s)_x000a_Severe weather events inclusing extreme heat, storms, floods etc_x000a__x000a_Effects_x000a_Resulting in threats to service service provision, environmental quality and residents' health in addition to reputational damage caused by perceived lack of action to tackle climate change_x000a_"/>
    <s v="Service Delivery "/>
    <n v="4"/>
    <n v="3"/>
    <s v="Major"/>
    <m/>
    <s v="- 1. Adopt best adaptation practice as identified through the London Councils Climate Programme - Implementation Plan for 2023 to 2025, identifying, mitigating and managing climate risks creating a green and resilient borough._x000a_2. Implementation of LBB's Carbon Management Programme _x000a_3. LBB Surface Water Management Plan and Draft Local Flood Risk Strategy_x000a_4. Establish net zero (direct) carbon emissions target for 2027 as part of 10 year climate plan_x000a_5. Climate Change included within Corporate Risk Register and risks associated with climate change e.g. increased number of extreme weather events, included within Contract Risk Registers. Note the findings of the Independent Assessment of UK Climate Risk published on a 5 cycle. _x000a_ "/>
    <m/>
    <n v="4"/>
    <n v="2"/>
    <s v="Major"/>
    <s v="Severe"/>
    <s v="1. Emergency Planning to liaise with Public Health on cross-cutting issues e.g. excess summer deaths and vector-borne disease etc._x000a_2. Detailed climate action plan developed as part of ongoing Carbon Management Programme, in order to achieve net zero organisational carbon emissions by 2027._x000a_3. Public signposting document to be developed early in 2023/24 to support homeowners and businesses to reduce their emissions."/>
    <m/>
    <m/>
    <m/>
    <s v="Director of Environment and Public Protection"/>
    <n v="50008"/>
    <n v="0.6"/>
    <n v="30004.799999999999"/>
    <n v="50008"/>
    <n v="0.4"/>
    <n v="20003.2"/>
    <n v="10001.599999999999"/>
    <n v="0.33333333333333331"/>
    <e v="#N/A"/>
  </r>
  <r>
    <s v="PR_0014"/>
    <x v="2"/>
    <s v="Resource &amp; Capability Adequacy KRI"/>
    <m/>
    <s v="Health &amp; Safety_x000a_(Fire and First Aid)_x000a__x000a_Non compliance with legislation_x000a__x000a_"/>
    <s v="Cause(s)_x000a_1. No trained fire responsible person (legal) for some sites_x000a_2. Insufficient numbers of trained fire wardens working from the site to safely manage an evacuation (in accordance with the Fire Risk Assessments) _x000a_3. Insufficient fire safety and fire fighting equipment and insufficient first aid supplies_x000a_4. Property related issues_x000a_5. Insufficient numbers of trained first aiders working from site to ensure sufficient first aid cover                                                                                                                                                                                                                                                                                           6. Insufficient arrangements for monitoring who is onsite at any given time_x000a_7. Fire risk assessments not undertaken _x000a_8. Personal emergency evacuation plans not in place_x000a__x000a_Effect(s)_x000a_- Non compliance with legislation which could lead to legal and financial consequences_x000a_- Inadequate plans for fire safety and evacuation _x000a_- Non compliance with Health and Safety (First Aid) Regulations 1981 in terms of adequate first aid provision in the form of trained first aiders and appropriate equipment if employees are injured or become ill at work_x000a_"/>
    <s v="Legislative_x000a_Reputational _x000a__x000a_Legal_x000a_Physical_x000a_Personnel_x000a__x000a_"/>
    <n v="5"/>
    <n v="4"/>
    <s v="Severe"/>
    <m/>
    <s v="- Reduced number of staff on site                                                                                                                                                                                     - All staff required to complete fire prevention and evacuation e-learning course                                                                                                                                                                                 - COE has agreed that managers will be fire wardens. Training for managers undertaken in June and July 2025                                                                                                                                                                                _x000a_-  To encourage people to become first aiders, the monthly allowance that volunteers receive was increased                                                                                                                                                                            _x000a_- Fire Safety is a standing item at Corporate Health and Safety Committee, and is discussed quarterly at CLT_x000a_- Fire Safety policy published_x000a_ - Arrangements for new accomodation implemented and are under constant_x000a_review                                                                                                                                                                            _x000a_- New first aid policy published"/>
    <m/>
    <n v="4"/>
    <n v="3"/>
    <s v="Major"/>
    <s v="Major"/>
    <s v=" _x000a_ 1. Learning and Development to arrange training on an ongoing basis. _x000a_ 2. Facilities Management to ensure Fire Risk Assessments are completed._x000a_3. Facilities Management to engage fire safety supplier to produce Emergency Plans for LBB sites. _x000a_4. Fire safety documents to be stored corporately to retain corporate knowledge.                                                       _x000a_5. Arranagments for roll calls to be considered.                                                                          _x000a_ "/>
    <m/>
    <m/>
    <m/>
    <s v="Director of Housing, Planning and Regeneration_x000a__x000a_Director of  Human Resources, Customer Services and Public Affairs"/>
    <n v="50009"/>
    <n v="0.8"/>
    <n v="40007.200000000004"/>
    <n v="50009"/>
    <n v="0.6"/>
    <n v="30005.399999999998"/>
    <n v="10001.800000000007"/>
    <n v="0.25000000000000011"/>
    <e v="#N/A"/>
  </r>
  <r>
    <s v="PR_0015"/>
    <x v="2"/>
    <s v="Strategic Objectives &amp; Adaptability KRI"/>
    <m/>
    <s v="Capital Financing Shortfall_x000a_Risk of significant costs increase in the Capital Programme and possible reductions in proceeds from disposals could impact on the Council's ability to fully fund the Capital programme"/>
    <s v="Cause(s):_x000a_1. Property price reductions as a result of the economic environment could have a negative impact on sale proceeds._x000a_2. Limited scope to identify further Council assets for disposal _x000a_3. Significant increase in cost of capital schemes due to inflation and supply issues requiring an increase in funding_x000a_4. Significant additional costs and future liabilities across the Council's operational estate arising from any further condition survey liabilities not identified at this stage._x000a_5. Requirement to obtain funding for significant new Housing Schemes and impact of higher borrowing costs_x000a_6. In February 2024, a report titled Capital Strategy 2024-25 to 2027-28 and Q3 Capital Programme Monitoring to Executive identified a significant increase in the Council's capital programme and resulting funding proposals given the factors identified above there is a risk that significant changes in cost and proceeds could create a new capital financing shortfall that needs to be addressed. The full funding identified excludes the potential works relating to potential works on the Churchill Theatre and library with proposals expected to be reported to Members later this year. _x000a_7. Only limited earmarked reserves available to support the capital programme, once other pressures (inc revenue budget gap) are factored in._x000a__x000a_Effect(s):_x000a_Without alternative funding, the Council would require drawdown from revenue resources. This would increase the Council's revenue budget gap and/or further deplete earmarked reserves. _x000a_2. Increased use of external borrowing would add interest cost pressure to the Council's revenue budget along with Minimum Revenue Provision requirements for repayment of borrowing_x000a_3. Schemes would not be able to progress due to lack of funding available although the scope to do this may be limited given the critical nature of some of the works required_x000a_4. Potential requirement to sell operational or income generating investment properties to fund capital costs"/>
    <s v="Economic - Strategy"/>
    <n v="4"/>
    <n v="4"/>
    <s v="Severe"/>
    <m/>
    <s v="1. Fundamental review of capital programme undertaken to inform updated Capital Strategy 2023/24 to 2026/27 as reported to Executive in January 2023 - this includes full capital programme, approved asset disposals, mitigations and agreed financing options._x000a_2. Regular reporting to Members via SAG, FSG and Executive_x000a_3. Tight control and scrutiny (by finance) of capital spending commitments as they reach the level of business case._x000a_4. Quarterly reports on capital receipts (actual and forecast) to Executive._x000a_5. Members have approved PWLB borrowing to refinance existing housing schemes (£50m via PWLB) and the additional option of up to £10m support from the Council's revenue earmarked reserves."/>
    <m/>
    <n v="4"/>
    <n v="3"/>
    <s v="Major"/>
    <s v="Major"/>
    <m/>
    <m/>
    <m/>
    <m/>
    <s v="Director of Finance"/>
    <n v="50010"/>
    <n v="0.8"/>
    <n v="40008"/>
    <n v="50010"/>
    <n v="0.6"/>
    <n v="30006"/>
    <n v="10002"/>
    <n v="0.25"/>
    <e v="#N/A"/>
  </r>
  <r>
    <m/>
    <x v="4"/>
    <s v="Programme Delivery Excellence KRI"/>
    <m/>
    <s v="Operational Property Repair  _x000a_The OPR Programme cannot be delivered to budget and within programme "/>
    <s v="Cause(s):_x000a_1. That building cost inflation and other economic uncertainties continue_x000a_2. The scope of works required exceeds the budget_x000a_3. The programme continues beyond the time anticipated_x000a_4. Resource to deliver the programme not available as anticipated _x000a__x000a__x000a_Effect(s):_x000a_1. Not all works required can be implemented_x000a_2. Impacted properties may continue to have repair liabilities beyond those anticipated_x000a_3. Impacted properties may not be compliant for building regulations and health &amp; safety_x000a_4. Works continue beyond the end of the anticipated programme_x000a_ "/>
    <m/>
    <n v="4"/>
    <n v="5"/>
    <s v="Severe"/>
    <m/>
    <s v="- Surveys undertaken  across the portfolio, _x000a_- Cost estimates undertaken utilising average cost per m2,_x000a_-  Executive Report on findings of the review and proposed capital works to refurbish the properties agreed at Full Council in Dec '22   _x000a_ - Ensure alternative and adequate resources are available"/>
    <m/>
    <n v="3"/>
    <n v="4"/>
    <s v="Major"/>
    <s v="Moderate"/>
    <s v="Monitor costs at Programme Board"/>
    <m/>
    <m/>
    <m/>
    <s v="Director of Housing, Planning and Regeneration"/>
    <n v="50011"/>
    <n v="1"/>
    <n v="50011"/>
    <n v="50011"/>
    <n v="0.8"/>
    <n v="40008.800000000003"/>
    <n v="10002.199999999997"/>
    <n v="0.19999999999999996"/>
    <e v="#N/A"/>
  </r>
  <r>
    <m/>
    <x v="4"/>
    <s v="Technical Delivery &amp; Infrastructure KRI"/>
    <m/>
    <s v="Operational Property Repair _x000a_Buildings within the OPR Programme fail prior to commencement of works"/>
    <s v="Cause(s): _x000a_1. Infrastructure that is beyond economic repair fails   _x000a_                             _x000a_Effect: _x000a_1. The property cannot be occupied  _x000a_2. A Council service or stakeholder is unable to continue to offer a service from the property _x000a_3. There is a health &amp; safety incident 5. The Council suffers financial and/or reputational loss "/>
    <m/>
    <n v="4"/>
    <n v="5"/>
    <s v="Severe"/>
    <m/>
    <s v="Works on  properties known to be at risk are being accelerated "/>
    <m/>
    <n v="3"/>
    <n v="4"/>
    <s v="Major"/>
    <s v="Severe"/>
    <s v="Monitor Facilities Management reports of infrastructure failure "/>
    <m/>
    <m/>
    <m/>
    <s v="Director of Housing, Planning and Regeneration"/>
    <n v="50012"/>
    <n v="1"/>
    <n v="50012"/>
    <n v="50012"/>
    <n v="0.8"/>
    <n v="40009.600000000006"/>
    <n v="10002.399999999994"/>
    <n v="0.19999999999999987"/>
    <e v="#N/A"/>
  </r>
  <r>
    <m/>
    <x v="2"/>
    <s v="Supply Chain &amp; Safety Performance KRI"/>
    <m/>
    <s v="Recruitment and Retention_x000a_Ineffective recruitment and retention strategies for hard to fill posts "/>
    <s v="Cause(s):_x000a_1. Physical environment/hygiene facilities_x000a_2. Culture _x000a_3. Increasingly fluid market_x000a_4. Increases in demand and/or reductions in supply_x000a_5. Lack of experienced staff in the labour pool_x000a_6. Budget constraints_x000a_7. Lack of leadership_x000a_8. Failure to compete with other organisations to recruit the highest quality candidates to build an agile work force_x000a_9. Cost of living rises deter potential candidates from working in London_x000a_10. Recruitment can fluctuate due to external pressures_x000a_Effect(s):_x000a_1. Potential service delivery impacts_x000a_2. Increased costs due to use of agency workers_x000a_3. Reduction in quality of service"/>
    <s v="Personnel / Operational"/>
    <n v="4"/>
    <n v="3"/>
    <s v="Major"/>
    <m/>
    <s v="1. Horizon scanning to anticipate changes and trends to staff complement_x000a_2. Keeping up to date on national trends for hard to recruit professions_x000a_3. Case load review_x000a_4. Review of pay and comparison with neighbouring LAs_x000a_5. R&amp;R Board to regularly review_x000a_6. No Quit Policy in place_x000a_7. Implement grow your own initiatives e.g. senior practitioners progression pathway, training pathways for social workers, graduate trainees, apprentices                   _x000a_8. Overseas recruitment                                                                                                               _x000a_9. Signed up to the London Pledge - all Councils have a memorandum or understanding to pay social workers same rate                                                                 _x000a_10. LBB staff present at recruitment fairs/events  _x000a_11. Dedicated HR team to support managers in recruiting hard to fill positions in CSC and Education_x000a_12. Recruitment drive to convert locums to permanent staff_x000a_13. Exit interviews to understand why staff leave _x000a_14. Recruitment event took place in January 2023"/>
    <m/>
    <n v="3"/>
    <n v="3"/>
    <s v="Major"/>
    <s v="Severe"/>
    <s v="1. Review of retention strategies_x000a_2. Development of a Talent Management Strategy._x000a_3. Consideration to resurrect 'Future Leaders Programme'   _x000a_"/>
    <m/>
    <m/>
    <m/>
    <s v="Director of HR, Customer Services and Public Affairs"/>
    <n v="50013"/>
    <n v="0.6"/>
    <n v="30007.8"/>
    <n v="50013"/>
    <n v="0.6"/>
    <n v="30007.8"/>
    <n v="0"/>
    <n v="0"/>
    <e v="#N/A"/>
  </r>
  <r>
    <m/>
    <x v="4"/>
    <s v="Strategic Objectives &amp; Adaptability KRI"/>
    <m/>
    <s v="Deleterious Materials -_x000a_Discovery of Deleterious Materials in the construction and fit out of properties owned or occupied by the Council."/>
    <s v="Causes:_x000a_Use of deleterious material in building construction and fit out that are harmful to human health._x000a_Use of deleterious material in building construction and fit out which cause of long-term failure in building fabric and/or structure._x000a_ _x000a_Effects:_x000a_Release of substances harmful to human health resulting in…. short- and long-term harm to employees, members, visitors and general public_x000a_Failure of building structure resulting in…acute harm to employees, members, visitors and general public_x000a_Closure or partial closure of buildings leading to temporary relocation and impact on Service delivery._x000a_Non-co-operation of tenants leading to Council having to result to dispute resolution to access building. Possibility of compensation if lease has such a clause._x000a_Investigation by the HSE leading to possible prosecution."/>
    <s v="Health &amp; safety"/>
    <n v="4"/>
    <n v="3"/>
    <s v="Major"/>
    <m/>
    <s v="_x000a_Council is complying with existing HSE and industry guidance including Health and Safety at Work regulations._x000a_Specification of all works to properties commissioned by the Property and Regen Teams ban the use of deleterious materials._x000a_Property and Regen to ensure Asbestos Management Surveys in place across the Councils’ property portfolio._x000a_RAAC surveys commissioned by Property and Regen to cover the Councils’ property portfolio.                                                   "/>
    <m/>
    <n v="3"/>
    <n v="3"/>
    <s v="Major"/>
    <s v="Severe"/>
    <s v="Continued training on deleterious materials for property and regen staff (asbestos awareness etc). Council to hold a register of all identified deleterious material across the estate with mitigation plans were identified.                                                                                            Following the announcement of HSE asbestos management inspections of Councils, an external retained health and safety consultant will be reviewing the asbestos management arrangements in LBB."/>
    <m/>
    <m/>
    <m/>
    <s v="Director of Housing, Planning and Regeneration"/>
    <n v="50014"/>
    <n v="0.6"/>
    <n v="30008.399999999998"/>
    <n v="50014"/>
    <n v="0.6"/>
    <n v="30008.399999999998"/>
    <n v="0"/>
    <n v="0"/>
    <e v="#N/A"/>
  </r>
  <r>
    <s v="PR_0005"/>
    <x v="0"/>
    <s v="Programme Financial Sustainability KRI"/>
    <d v="2026-02-28T00:00:00"/>
    <s v="Failure to deliver a sustainable Financial Strategy which meets with Making Bromley Even Better priorities and failure of individual departments to meet budget _x000a__x000a_"/>
    <s v="Cause(s):_x000a_1. The Council Tax Report 2025/26 Budget (including future years financial forecast) reported to Executive on 12th February 2025 identified the need to reduce the Council's future years 'budget gap'.   _x000a_2. The Government has consulted on its review of the existing local government finance system (now known as Fair Funding 2.0) is expected to be implemented from  2026/27 and is expected to result in real terms reduction in future funding over the next three years. The significant levels of cost/growth pressures relating to SEN, social care and homelessness continue and there remains uncertainty relating to future cost increases arising from service inflation for some time. These factors can have a significant impact on the future years'  'budget gap'. An update on the latest financial forecast position is being reported to Executive in September. _x000a_3. Failure to meet departmental budgets due to increased demand on key services resulting in overspends: housing (homelessness and cost of bed and breakfast); adult social care (demographic changes including ageing population); children's social care,  education (central costs, high needs transport and DSG deficit), waste (growing number of households), Dedicated Schools Grant deficit increases and limited delivery of planned mitigation savings._x000a_4. New capital schemes may be required with the associated revenue impact (including financing) adding to the Council's 'budget gap' to meet._x000a_5. Dependency on external grants to fund services (schools and housing benefits are ring-fenced) - effect if specific grants reduce or cease._x000a_6. Increases in national living wage will have cost implications to the Council over the next few years (e.g. care providers and carers).  _x000a_7. Local government may be required to take on new funding responsibilities in the future without adequate funding._x000a_8. Ongoing risk of inflation exceeding Bank of England inflation target levels._x000a_9. Failure to identify and highlight frauds and weaknesses in the system of internal control (which invariably have a financial impact). Overall, identified fraud losses are mainly benefit related (Council Tax Support / Single Person Discount)._x000a__x000a_Effect(s):_x000a_1. Increased overspends in particular services_x000a_2. Council unable to carry out its statutory duties due to services cuts_x000a_3. Reputational damage_x000a_4. Risk of having to seek Exceptional Financial Support (EFS) or ultimately a Section 114 notice  _x000a_"/>
    <s v="Finance_x000a__x000a_Financial"/>
    <n v="5"/>
    <n v="4"/>
    <s v="Severe"/>
    <m/>
    <s v=" - Regular update to forward forecast_x000a_- Regular analysis of funding changes and new burdens including full year impact                                                                                                                _x000a_- Transformation options considered early in the four year forward planning period_x000a_- Budget monitoring to include action from relevant Director to address overspends including action to address any full year additional cost_x000a_- Mitigation of future cost pressures including demographic changes_x000a_ - Quarterly review of growth pressures and mitigation_x000a_- Growth Reduction Board chaired by Chief Executive  "/>
    <m/>
    <n v="5"/>
    <n v="3"/>
    <s v="Severe"/>
    <s v="Severe"/>
    <s v="_x000a_'The Council continues to explore transformation opportunities to help meet the ongoing budget gap._x000a_Chief Officers will explore further measures to help reduce the overspend in 2025/26 as reported to Executive in September."/>
    <m/>
    <d v="2026-02-26T00:00:00"/>
    <m/>
    <s v="Strategic Director"/>
    <n v="100000"/>
    <n v="0.8"/>
    <n v="80000"/>
    <n v="50000"/>
    <n v="0.6"/>
    <n v="30000"/>
    <n v="50000"/>
    <n v="0.625"/>
    <e v="#N/A"/>
  </r>
  <r>
    <s v="PR_0006"/>
    <x v="1"/>
    <s v="Resource &amp; Capability Adequacy KRI"/>
    <m/>
    <s v="Ineffective governance and management of contracts and procurement_x000a_"/>
    <s v="Cause(s): _x000a_1. Lack of awareness and/or non-compliance with Procurement Act 2023, Public Contracts Regulations 2015,  Provider Selection Regime and Councils Contract Procedure Rules._x000a_2. Lack of awareness and/or non-compliance with decision making and scrutiny requirements._x000a_3. Insufficient engagement with key support services such as Corporate Procurement, Finance and Legal._x000a_4. Poor planning / lack of timely action for commissioning and procurement activities._x000a_5. Poor record keeping of contracts and contract documentation._x000a_6. Insufficient or unclear arrangements for client side contract management and monitoring resource._x000a_7. Failure to undertake a suitable and proportionate contract management and monitoring plan._x000a_8. Failure of a contractor / partner / provider to maintain agreed service levels resulting in an interruption to or deterioration of service delivery._x000a__x000a_Effect(s):_x000a_- Failure to ensure Value for Money_x000a_- Procurement challenges / complaints leading to delays and potential additional costs_x000a_- Reputational risk_x000a_- Service disruptions_x000a_- Contracts do not deliver expected outcomes or deliver sufficient quality_x000a_- Increased cost and resource to manage contract issues_x000a_- Failure to achieve our Making Bromley Even Better priorities."/>
    <s v="Contract Management_x000a__x000a_Contractual and Partnership "/>
    <n v="4"/>
    <n v="3"/>
    <s v="Major"/>
    <m/>
    <s v="- Gateway process to support and record all relevant procurement decisions_x000a_- Contract Procedure Rules and regular Practice / Guidance notes to all Contract Owners_x000a_- Review of contract management and contract monitoring controls including any issues identified by internal audit_x000a_- Contracts Database and Quarterly Contracts Database Report to all relevant Committees_x000a_- Quarterly RAG rated contract reports to COE/CLT with individual reports to Contract Owners_x000a_- Procurement Board oversight_x000a_- Member scrutiny including regular Contract Monitoring Reports for £500k+ contracts_x000a_- Regular programme of training delivery to staff_x000a_- Quarterly Contract Owners meetings"/>
    <m/>
    <n v="4"/>
    <n v="2"/>
    <s v="Major"/>
    <s v="Severe"/>
    <s v="- Procurement Pipeline to support forward planning and to meet new statutory requirements.  Bi-annual.  First publication by Summer 2025 (COMPLETED)._x000a_- Completion of Procurement Act 2023 national L&amp;D programme by October 2024 for all Procurement and Legal Contracts officers (COMPLETED). Training offered to all Contract Owners (COMPLETED)._x000a_- Review of all documentation to ensure compliance with Procurement Act 2023.  New documentation in place and constant review based on lessons learned and further guidance received (COMPLETED)._x000a_- Update and adoption of revised Contract Procedure Rules.  In progress with finalisation expected in Summer 2025 (COMPLETED)._x000a_- Review and updating of Contract Management library, tools, resources and processes.  In progress with completion in 2025_x000a_- Regular review of Third Party Spend, identification of any strategic procurement and process issues and follow up for remedial action and key messaging_x000a_- ongoing and repeated high profile key messaging across the Council and monitoring of compliance_x000a_"/>
    <m/>
    <m/>
    <m/>
    <s v="Strategic Lead B"/>
    <n v="50001"/>
    <n v="0.6"/>
    <n v="30000.6"/>
    <n v="50001"/>
    <n v="0.4"/>
    <n v="20000.400000000001"/>
    <n v="10000.199999999997"/>
    <n v="0.33333333333333326"/>
    <e v="#N/A"/>
  </r>
  <r>
    <s v="PR_0007"/>
    <x v="2"/>
    <s v="Programme Financial Sustainability KRI"/>
    <m/>
    <s v="Failure to maintain and develop ICT information systems to reliably support departmental service delivery_x000a_"/>
    <s v="Cause(s): _x000a_1. Some information systems not fully fit for future business purpose_x000a_2. Insufficient capacity and skill within Corporate IT and services to maintain and support systems during a period of significant change and in the future, including for individual systems _x000a_3. Increasing reliance on stability of ICT infrastructure in all areas of the Council (Lync telephony service). _x000a_4. Council website now a major channel for the delivery of services (Pay for it, Apply for it, Report it). - (Phase 2 upgrade of website planned) _x000a_6. IT failure impacting on critical operational systems._x000a_7. Over the next 3 years we will need to undertake gateway reviews / procurement plans for Council's business critical systems for example, Uniform, Housing info system and Education's Capita One system plus the main LBB website_x000a_8. Transfer of IT contract to a provider following procurement process_x000a_9. Potential risk in transferring from one site to another if there is lack of adequate support and sufficient timeframe_x000a__x000a_Effect(s):_x000a_1. Service disruptions_x000a_2. Inability to access key systems_x000a_3. Reputational damage_x000a_4. Inability to support organisation change and savings targets_x000a_5. Failure to achieve our MBEB priorities."/>
    <s v="ICT_x000a__x000a_Data and Information _x000a__x000a_Technological "/>
    <n v="4"/>
    <n v="3"/>
    <s v="Major"/>
    <m/>
    <s v="Robust backup arrangements in the new accommodation _x000a_Enhanced antivirus/cyber security._x000a_tested system restoration arrangements. _x000a_Cloud migration project_x000a_New contract_x000a_Accommodation better equipped to support resilience"/>
    <m/>
    <n v="4"/>
    <n v="2"/>
    <s v="Major"/>
    <s v="Severe"/>
    <s v="Review data storage /hosting arrangements._x000a_Completion of cloud migration, office accommodation, contract procurement and award   _x000a__x000a_"/>
    <m/>
    <m/>
    <m/>
    <s v="Strategic Lead A"/>
    <n v="50002"/>
    <n v="0.6"/>
    <n v="30001.199999999997"/>
    <n v="50002"/>
    <n v="0.4"/>
    <n v="20000.800000000003"/>
    <n v="10000.399999999994"/>
    <n v="0.33333333333333315"/>
    <e v="#N/A"/>
  </r>
  <r>
    <s v="PR_0008"/>
    <x v="2"/>
    <s v="Programme Financial Sustainability KRI"/>
    <m/>
    <s v="IT Security Failure_x000a_"/>
    <s v="Cause(s):_x000a_Failure of IT Security (responsibility across Bromley &amp; BT) to manage risk of attack or intrusion leading to potential corruption / loss of data / loss of systems_x000a_Failure of System manager  where Digital &amp; iT service (including BT) do not manage the system)_x000a_Failure to comply with relevant legislation (GDPR)_x000a_Failure to ensure the confidentiality, integrity, and availability of information assets._x000a__x000a_Effect(s):_x000a_1. Distress and/or physical impact on wellbeing of customers_x000a_2. Impact on operational integrity_x000a_3. Reputational damage to services and the authority as a whole_x000a_4. Liability in law_x000a_5. Economic damage to authority and/or customers_x000a_6. Impact on service take up due to reduced confidence from the public"/>
    <s v="ICT_x000a__x000a_Data and Information _x000a__x000a_Technological "/>
    <n v="5"/>
    <n v="4"/>
    <s v="Severe"/>
    <m/>
    <s v=" -Application of effective security management including effective application of anti- virus protection and security measures through the IT Contract with BT_x000a_- Regular Penetration Testing undertaken_x000a_- Information Security Team in place_x000a_- Patch updates undertaken regularly_x000a_- LBB is currently compliant with the Public Services Network Code of Connection (PSN CoCo), DSP Toolkit and PCI-DSS (Payment Card Industry standards)_x000a_The LBB Corporate Leadership Team formally accept the above certifications  as the basis of LBB's internal information governance and security program.  These standards are based on the ISO27001 international best practice and NCSC guidance for managing information security and are therefore fit for purpose for assessing and managing the Council's information risk_x000a_- GDPR Training programme in place_x000a_- Induction programme in place_x000a_- Additional resources to manage risks_x000a_- Security Operation Centre(SOC) has been implemented which proactively monitor of the LBB Data and Infrastructure."/>
    <m/>
    <n v="5"/>
    <n v="3"/>
    <s v="Severe"/>
    <s v="Severe"/>
    <s v=" - Review AI Policy_x000a__x000a_- Cyber Assessment Framework Stage 1 complete (action to remediate 2 findings by end of October 2025):_x000a_  &gt; Implement robust testing of disaster recovery and business continuity plans -  kick-off planning meeting scheduled for 6th August 2025_x000a__x000a_- Cyber Assessment Stage 2 _x000a_  &gt; Critical system assessment and incident response review is underway with a target cmpletion of 30th September 2025._x000a__x000a_ - Two Audits undertaken by Mazars complete (action to remediate findings):_x000a_First Report - Governance and Risk_x000a_  &gt; Sign off of Cyber Secuirty Risk Appetite_x000a_  &gt; Implement robust adherance to mandatory security and governanance training - HR now offer security and data protection training on Evolve.  The Head of Security &amp; Information Management has reviewed and amended the packages (March 2025).  HR need to now ensure that they are robustly promoting the training and reporting on compliance.  _x000a__x000a_  &gt; The second report, Key IT and Security Controls, has been issued:_x000a_  &gt; Hiring Managers are not consistently notifying IT when an officer leaves the Council - Work is in progress to design a new Joiners. Movers, Leavers and Identity Management solution._x000a_   2) Engagement with BT required to ensure that the leavers process is being carried out consistently with enhancements to the leavers Bring Your Own Device (BYOD) process._x000a__x000a_- Upgrade out of support mobile phones and iPad models"/>
    <m/>
    <m/>
    <m/>
    <s v="Strategic Lead C"/>
    <n v="50003"/>
    <n v="0.8"/>
    <n v="40002.400000000001"/>
    <n v="50003"/>
    <n v="0.6"/>
    <n v="30001.8"/>
    <n v="10000.600000000002"/>
    <n v="0.25000000000000006"/>
    <e v="#N/A"/>
  </r>
  <r>
    <s v="PR_0009"/>
    <x v="2"/>
    <s v="Programme Delivery Excellence KRI"/>
    <m/>
    <s v="Failure to maintain robust Business Continuity and Emergency Planning arrangements_x000a_"/>
    <s v="Cause(s): _x000a_1. Insufficient Emergency Planning structure and processes_x000a_2. Insufficient Business Continuity arrangements and procedures, including those of key suppliers_x000a_3. Failure to fulfil obligations under the Civil Contingencies Act 2004 as a Category One Responder_x000a_4. Inadequate partnership working and collaboration_x000a_5. Lack of buy in from senior officers _x000a_6. Lack of testing and exercising of plans and processes_x000a__x000a_Effect(s):_x000a_1. Ineffective response to an emergency / business disruption _x000a_2.Significantly prolonged service disruptions _x000a_3. Reputational damage / loss of credibility _x000a_4. Increased costs to rectify disruptions_x000a_5. Injury / harm _x000a_6. Failure to fulfil statutory duties in a timely manner_x000a_"/>
    <s v="Business Continuity_x000a__x000a_Physical_x000a__x000a_Reputational "/>
    <n v="4"/>
    <n v="3"/>
    <s v="Major"/>
    <m/>
    <s v="- Corporate business continuity management programme established_x000a_- Full suite of Business Continuity plans in place at service level across all Directorates_x000a_- Overarching Corporate Business Continuity plan developed identifying prioritisation of all services_x000a_- Corporate Major Emergency Response plan in place_x000a_- On call rota for Emergency Response Manager and at Director level_x000a_- Ongoing training, testing and exercising programme_x000a_- Continued delivery of the Business Continuity Management Process by CLT"/>
    <m/>
    <n v="3"/>
    <n v="3"/>
    <s v="Major"/>
    <s v="Severe"/>
    <s v="1. Learning from corporate testing and exercising programme embedded into review of service BCP plans taking place between May and September 24_x000a_2. Development of this year’s corporate testing and exercising programme to further embed BC practices across the organisation will take place in December 24 to February 25."/>
    <m/>
    <m/>
    <m/>
    <s v="Director of Environment and Public Protection"/>
    <n v="50004"/>
    <n v="0.6"/>
    <n v="30002.399999999998"/>
    <n v="50004"/>
    <n v="0.6"/>
    <n v="30002.399999999998"/>
    <n v="0"/>
    <n v="0"/>
    <e v="#N/A"/>
  </r>
  <r>
    <s v="PR_0010"/>
    <x v="2"/>
    <s v="Programme Financial Sustainability KRI"/>
    <m/>
    <s v="Failure to deliver effective Children's services _x000a_The Council is unable to deliver an effective children's service to fulfil its statutory obligations in safeguarding and protect those at risk of significant harm or death, sexual exploitation or missing from care"/>
    <s v="Cause(s):_x000a_1. Inability to recruit and retain sufficient numbers of staff to carry out statutory duties across the division to manage current levels of demand.                                                                                                                                                                                                      2. Budget pressures result in challenges to fulilling statutory obligations._x000a_ _x000a__x000a_Effect(s):_x000a_1. Impact on life chances and outcomes for children._x000a_2. Adverse inspection leading to reputational damage and further operational difficulties (staff leave etc)."/>
    <s v="Children's Social Care_x000a__x000a_Legal, Reputational "/>
    <n v="5"/>
    <n v="3"/>
    <s v="Severe"/>
    <m/>
    <s v=" - Multi Agency Bromley Children's Safeguarding Partnership (BCSP) Training programme 2023/24 has been agreed.                                                                                                                                                                                                        - Regular Budget monitoring sessions including Director of Finance and Assistant Director of Finance to to monitor spend and projected costs. _x000a_- Dedicated HR programme of support in place to recruit social workers to front line posts. We have recently reviewed social media publicity/&quot;Refer a Friend&quot; scheme to ensure we have a broad and comprehensive approach.  We are also currently actively recruiting from overseas. _x000a_- Scrutiny of Performance Management Framework and Indicators. _x000a_- Effective procurement framework and contract monitoring arrangements to ensure acceptable quality of service provision and value for money._x000a_- Quality Assurance Audit Programme continues to be in place. We have also added &quot;Dip Sampling&quot; of cases to the ways in which we are auditing quality of practice._x000a_- Children’s Service Practice Improvement Board; this meeting continues to be the key forum for discussing and evaluating the quality of practice.   _x000a_- Continued monitoring of caseloads to keep these in line with the Bromley Caseload Promise. _x000a_- Identified training plan for qualified social workers and other professionals reviewed and updated quarterly."/>
    <m/>
    <n v="5"/>
    <n v="2"/>
    <s v="Major"/>
    <s v="Severe"/>
    <s v="- Robust audit cycle in place. Demand Management forcasts informing MTFS   "/>
    <m/>
    <m/>
    <m/>
    <s v="Director of Children's Services"/>
    <n v="50005"/>
    <n v="0.6"/>
    <n v="30003"/>
    <n v="50005"/>
    <n v="0.4"/>
    <n v="20002"/>
    <n v="10001"/>
    <n v="0.33333333333333331"/>
    <e v="#N/A"/>
  </r>
  <r>
    <s v="PR_0011"/>
    <x v="2"/>
    <s v="Resource &amp; Capability Adequacy KRI"/>
    <m/>
    <s v="Temporary Accommodation _x000a_Inability to effectively manage the volume of people presenting themselves as homeless and the additional pressures placed on the homeless budgets. Rising cost of placements. "/>
    <s v="Cause(s): _x000a_1. Continued subsidy freeze on TA subsidy rates  _x000a_2. Rising numbers of placements (approx. 15 per month)  _x000a_3. Further reductions to local affordable sustainable options _x000a_4. Rising energy and other costs mean households are facing increasing risk of homelessness_x000a_5. Uncertainty around the impact of move on requirements for schemes such as Homes for Ukraine, Afghanistan resettlement programme_x000a_6. Withdrawal of number of private landlords and housing providers from the TA market. _x000a_7. Market reaction to interest rates, response to inflation rates, and proposed changes to legislation leading to reduction in supply._x000a_8. Reaction to supply and demand leading to increased costs_x000a_9. Increased pressure securing accommodation as a result of competition from others   _x000a__x000a_Effect(s):_x000a_1. Failure to fulfil statutory obligations _x000a_2. Impact on life chances and outcomes for individuals and families in temporary accommodation  _x000a_3. Increased risk of legal challenge due to accommodation and increased risk of Out of Borough Placements_x000a_4. Increased risk of legal challenge due to provision of accommodation (including shared accommodation and commercial hotels) _x000a_5. Pressure on other services _x000a_6. Increase in the number of out of borough placements_x000a_7. Increased length of stay in TA due to less move on opportunities_x000a_8. Costs cannot be contained within budget"/>
    <s v="Housing _x000a__x000a_Social"/>
    <n v="5"/>
    <n v="5"/>
    <s v="Severe"/>
    <m/>
    <s v="- Focus on preventing homelessness and diversion to alternative housing options through:- _x000a_- Landlord and Tenancy advice, support and sustainment_x000a_- Assistance, (including financial aid) to access the private rented sector _x000a_- Access to employment and training _x000a_- Debt, money, budgeting and welfare benefits advice, including assistance to resolve rent and mortgage arrears _x000a_- Sanctuary scheme for the protection of victims of domestic violence _x000a_- Effective contract monitoring arrangements to ensure acceptable quality of service provision and value for money  - _x000a_ - Development of social housing on LBB sites and implementation of Meadowship Homes acquisition _x000a_- Implementing the Homelessness Strategy - setting up the multi agency Homelessness forum and taking forward the priorities of the strategy_x000a_- New incentive campaign for private sector landlords embedded and benefits being realised _x000a_"/>
    <m/>
    <n v="4"/>
    <n v="5"/>
    <s v="Severe"/>
    <s v="Severe"/>
    <s v=" Phase 2 of meadowship homes property acqusition now live. Approval to progress with a further 3 housing sites under the LBB affordable housing delivery programme_x000a_- ongoing conversion of tenancies in the More Homes Bromley scheme from temporary to permanent_x000a_- Review requirement for block bookings to ensure sufficient TA supply  _x000a_- Progress counter fraud work on TA properties and explore joint fraud working with social landlords to ensure properties are occupied by intended clients._x000a_- Pursue additional grant funding to increase affordable housing supply through development acquisition and empty homes_x000a_ - Explore whether, when accommodation is lost, the Council can take on these properties instead_x000a_ - Undertake a review of arrangements with Housing Association partners to look at potential to increase number of nominations and make best use of existing housing stock"/>
    <m/>
    <m/>
    <m/>
    <s v="Director of Housing, Planning and Regeneration"/>
    <n v="50006"/>
    <n v="1"/>
    <n v="50006"/>
    <n v="50006"/>
    <n v="1"/>
    <n v="50006"/>
    <n v="0"/>
    <n v="0"/>
    <e v="#N/A"/>
  </r>
  <r>
    <m/>
    <x v="2"/>
    <s v="Programme Financial Sustainability KRI"/>
    <m/>
    <s v="Failure to deliver the Transforming Bromley Programme "/>
    <s v="Cause(s):_x000a_1. Failure to identify and put forward sufficient transformation proposals required to deliver a balanced budget in the Medium Term Financial Strategy_x000a_2. Failure to deliver appropriate mitigation of existing projected growth pressures within the financial forecast_x000a_3. Failure to appropriately resource each Transforming Bromley workstream with sufficient project support and subject matter expertise to enable the identification of proposals_x000a_4. Insufficient management oversight and governance arrangements to shape the delivery of proposals to enable Member decision making and inform budget setting for each financial year_x000a_5. Insufficient consultation and engagement with relevant stakeholders to ensure the successful delivery of proposals. _x000a_6. Additional demand pressures on council services._x000a__x000a_Effect(s)_x000a_- Inability to address the Council’s budget gap._x000a_- Unable to meet key commitments of the Medium Term Financial Strategy_x000a__x000a_"/>
    <s v="Finance_x000a__x000a_Financial"/>
    <n v="5"/>
    <n v="4"/>
    <s v="Severe"/>
    <m/>
    <s v="1. Robust governance process: fortnightly meetings of the Transformation Board, chaired by the Chief Executive and attended by Chief Officers_x000a_2. Each Transformation Board workstream attends the Transformation Board  before proposals are reviewed by Cabinet/Directors, PDS Committees and the Executive. _x000a_3. Each Transformation workstream has appropriate resources to successfully deliver proposals_x000a_4. Monthly Transformation newsletter in place to appropriately engage with key stakeholders _x000a_5. Where transformation proposals have public law implications, an appropriate assessment is carried out and stakeholders are engaged, including Procurement and Legal Services._x000a_6. Each Chief Officer gives an update at their respective PDS Committee(s) on Transformation progress _x000a_7. Transformation Fund supports the successful delivery of transformation proposals subject to a suitable business case being provided_x000a_8. A review of core statutory minimum service requirements took place to enable each service area to identify where potential savings could be and to evidence that where discretionary services are delivered. They are done so on a cost-recovery basis and/or they reduce long-term dependency on higher levels of statutory intervention which generate longer term growth pressures for the Council_x000a_9. All relevant proposals will be submitted to the Executive to inform budget setting for MTFS._x000a_10. Finance provide assurances through budget monitoring to ensure that agreed mitigation and transformation programmes are on track to deliver the savings identified. Where Directors declare a deviation from the plan, alternative proposals are sought for approval. "/>
    <m/>
    <n v="5"/>
    <n v="3"/>
    <s v="Severe"/>
    <s v="Severe"/>
    <s v="A new Transformation Plan for 2024-28 was launched in April 2024, with staff engagement._x000a__x000a_Proposals being developed for key decisions and scrutiny as necessary between October – December 2024. Options under the wide umbrella of ‘Transforming Bromley’ include improving productivity, modernisation, reducing waste, taking a graduated approach to service thresholds leading to a reduction in statutory demand, using data to review and redesign in-house and commissioned services and service reductions. Staff continue to be briefed on the programme and engaged to ensure that they are able to influence the change programme with their experiences._x000a__x000a_If growth/cost pressures continue, decisions associated to the Transformation Programme are likely to have an impact on the delivery of services to our residents and service users. "/>
    <m/>
    <m/>
    <m/>
    <s v="Chief Executive"/>
    <n v="50007"/>
    <n v="0.8"/>
    <n v="40005.600000000006"/>
    <n v="50007"/>
    <n v="0.6"/>
    <n v="30004.199999999997"/>
    <n v="10001.400000000009"/>
    <n v="0.25000000000000017"/>
    <e v="#N/A"/>
  </r>
  <r>
    <m/>
    <x v="3"/>
    <s v="Programme Financial Sustainability KRI"/>
    <m/>
    <s v="Climate Change_x000a_Failure to adapt the borough and Council services to our changing climate "/>
    <s v="Cause(s)_x000a_Severe weather events inclusing extreme heat, storms, floods etc_x000a__x000a_Effects_x000a_Resulting in threats to service service provision, environmental quality and residents' health in addition to reputational damage caused by perceived lack of action to tackle climate change_x000a_"/>
    <s v="Service Delivery "/>
    <n v="4"/>
    <n v="3"/>
    <s v="Major"/>
    <m/>
    <s v="- 1. Adopt best adaptation practice as identified through the London Councils Climate Programme - Implementation Plan for 2023 to 2025, identifying, mitigating and managing climate risks creating a green and resilient borough._x000a_2. Implementation of LBB's Carbon Management Programme _x000a_3. LBB Surface Water Management Plan and Draft Local Flood Risk Strategy_x000a_4. Establish net zero (direct) carbon emissions target for 2027 as part of 10 year climate plan_x000a_5. Climate Change included within Corporate Risk Register and risks associated with climate change e.g. increased number of extreme weather events, included within Contract Risk Registers. Note the findings of the Independent Assessment of UK Climate Risk published on a 5 cycle. _x000a_ "/>
    <m/>
    <n v="4"/>
    <n v="2"/>
    <s v="Major"/>
    <s v="Severe"/>
    <s v="1. Emergency Planning to liaise with Public Health on cross-cutting issues e.g. excess summer deaths and vector-borne disease etc._x000a_2. Detailed climate action plan developed as part of ongoing Carbon Management Programme, in order to achieve net zero organisational carbon emissions by 2027._x000a_3. Public signposting document to be developed early in 2023/24 to support homeowners and businesses to reduce their emissions."/>
    <m/>
    <m/>
    <m/>
    <s v="Director of Environment and Public Protection"/>
    <n v="50008"/>
    <n v="0.6"/>
    <n v="30004.799999999999"/>
    <n v="50008"/>
    <n v="0.4"/>
    <n v="20003.2"/>
    <n v="10001.599999999999"/>
    <n v="0.33333333333333331"/>
    <e v="#N/A"/>
  </r>
  <r>
    <s v="PR_0014"/>
    <x v="2"/>
    <s v="Programme Financial Sustainability KRI"/>
    <m/>
    <s v="Health &amp; Safety_x000a_(Fire and First Aid)_x000a__x000a_Non compliance with legislation_x000a__x000a_"/>
    <s v="Cause(s)_x000a_1. No trained fire responsible person (legal) for some sites_x000a_2. Insufficient numbers of trained fire wardens working from the site to safely manage an evacuation (in accordance with the Fire Risk Assessments) _x000a_3. Insufficient fire safety and fire fighting equipment and insufficient first aid supplies_x000a_4. Property related issues_x000a_5. Insufficient numbers of trained first aiders working from site to ensure sufficient first aid cover                                                                                                                                                                                                                                                                                           6. Insufficient arrangements for monitoring who is onsite at any given time_x000a_7. Fire risk assessments not undertaken _x000a_8. Personal emergency evacuation plans not in place_x000a__x000a_Effect(s)_x000a_- Non compliance with legislation which could lead to legal and financial consequences_x000a_- Inadequate plans for fire safety and evacuation _x000a_- Non compliance with Health and Safety (First Aid) Regulations 1981 in terms of adequate first aid provision in the form of trained first aiders and appropriate equipment if employees are injured or become ill at work_x000a_"/>
    <s v="Legislative_x000a_Reputational _x000a__x000a_Legal_x000a_Physical_x000a_Personnel_x000a__x000a_"/>
    <n v="5"/>
    <n v="4"/>
    <s v="Severe"/>
    <m/>
    <s v="- Reduced number of staff on site                                                                                                                                                                                     - All staff required to complete fire prevention and evacuation e-learning course                                                                                                                                                                                 - COE has agreed that managers will be fire wardens. Training for managers undertaken in June and July 2025                                                                                                                                                                                _x000a_-  To encourage people to become first aiders, the monthly allowance that volunteers receive was increased                                                                                                                                                                            _x000a_- Fire Safety is a standing item at Corporate Health and Safety Committee, and is discussed quarterly at CLT_x000a_- Fire Safety policy published_x000a_ - Arrangements for new accomodation implemented and are under constant_x000a_review                                                                                                                                                                            _x000a_- New first aid policy published"/>
    <m/>
    <n v="4"/>
    <n v="3"/>
    <s v="Major"/>
    <s v="Major"/>
    <s v=" _x000a_ 1. Learning and Development to arrange training on an ongoing basis. _x000a_ 2. Facilities Management to ensure Fire Risk Assessments are completed._x000a_3. Facilities Management to engage fire safety supplier to produce Emergency Plans for LBB sites. _x000a_4. Fire safety documents to be stored corporately to retain corporate knowledge.                                                       _x000a_5. Arranagments for roll calls to be considered.                                                                          _x000a_ "/>
    <m/>
    <m/>
    <m/>
    <s v="Director of Housing, Planning and Regeneration_x000a__x000a_Director of  Human Resources, Customer Services and Public Affairs"/>
    <n v="50009"/>
    <n v="0.8"/>
    <n v="40007.200000000004"/>
    <n v="50009"/>
    <n v="0.6"/>
    <n v="30005.399999999998"/>
    <n v="10001.800000000007"/>
    <n v="0.25000000000000011"/>
    <e v="#N/A"/>
  </r>
  <r>
    <s v="PR_0015"/>
    <x v="2"/>
    <s v="Resource &amp; Capability Adequacy KRI"/>
    <m/>
    <s v="Capital Financing Shortfall_x000a_Risk of significant costs increase in the Capital Programme and possible reductions in proceeds from disposals could impact on the Council's ability to fully fund the Capital programme"/>
    <s v="Cause(s):_x000a_1. Property price reductions as a result of the economic environment could have a negative impact on sale proceeds._x000a_2. Limited scope to identify further Council assets for disposal _x000a_3. Significant increase in cost of capital schemes due to inflation and supply issues requiring an increase in funding_x000a_4. Significant additional costs and future liabilities across the Council's operational estate arising from any further condition survey liabilities not identified at this stage._x000a_5. Requirement to obtain funding for significant new Housing Schemes and impact of higher borrowing costs_x000a_6. In February 2024, a report titled Capital Strategy 2024-25 to 2027-28 and Q3 Capital Programme Monitoring to Executive identified a significant increase in the Council's capital programme and resulting funding proposals given the factors identified above there is a risk that significant changes in cost and proceeds could create a new capital financing shortfall that needs to be addressed. The full funding identified excludes the potential works relating to potential works on the Churchill Theatre and library with proposals expected to be reported to Members later this year. _x000a_7. Only limited earmarked reserves available to support the capital programme, once other pressures (inc revenue budget gap) are factored in._x000a__x000a_Effect(s):_x000a_Without alternative funding, the Council would require drawdown from revenue resources. This would increase the Council's revenue budget gap and/or further deplete earmarked reserves. _x000a_2. Increased use of external borrowing would add interest cost pressure to the Council's revenue budget along with Minimum Revenue Provision requirements for repayment of borrowing_x000a_3. Schemes would not be able to progress due to lack of funding available although the scope to do this may be limited given the critical nature of some of the works required_x000a_4. Potential requirement to sell operational or income generating investment properties to fund capital costs"/>
    <s v="Economic - Strategy"/>
    <n v="4"/>
    <n v="4"/>
    <s v="Severe"/>
    <m/>
    <s v="1. Fundamental review of capital programme undertaken to inform updated Capital Strategy 2023/24 to 2026/27 as reported to Executive in January 2023 - this includes full capital programme, approved asset disposals, mitigations and agreed financing options._x000a_2. Regular reporting to Members via SAG, FSG and Executive_x000a_3. Tight control and scrutiny (by finance) of capital spending commitments as they reach the level of business case._x000a_4. Quarterly reports on capital receipts (actual and forecast) to Executive._x000a_5. Members have approved PWLB borrowing to refinance existing housing schemes (£50m via PWLB) and the additional option of up to £10m support from the Council's revenue earmarked reserves."/>
    <m/>
    <n v="4"/>
    <n v="3"/>
    <s v="Major"/>
    <s v="Major"/>
    <m/>
    <m/>
    <m/>
    <m/>
    <s v="Director of Finance"/>
    <n v="50010"/>
    <n v="0.8"/>
    <n v="40008"/>
    <n v="50010"/>
    <n v="0.6"/>
    <n v="30006"/>
    <n v="10002"/>
    <n v="0.25"/>
    <e v="#N/A"/>
  </r>
  <r>
    <m/>
    <x v="4"/>
    <s v="Strategic Objectives &amp; Adaptability KRI"/>
    <m/>
    <s v="Operational Property Repair  _x000a_The OPR Programme cannot be delivered to budget and within programme "/>
    <s v="Cause(s):_x000a_1. That building cost inflation and other economic uncertainties continue_x000a_2. The scope of works required exceeds the budget_x000a_3. The programme continues beyond the time anticipated_x000a_4. Resource to deliver the programme not available as anticipated _x000a__x000a__x000a_Effect(s):_x000a_1. Not all works required can be implemented_x000a_2. Impacted properties may continue to have repair liabilities beyond those anticipated_x000a_3. Impacted properties may not be compliant for building regulations and health &amp; safety_x000a_4. Works continue beyond the end of the anticipated programme_x000a_ "/>
    <m/>
    <n v="4"/>
    <n v="5"/>
    <s v="Severe"/>
    <m/>
    <s v="- Surveys undertaken  across the portfolio, _x000a_- Cost estimates undertaken utilising average cost per m2,_x000a_-  Executive Report on findings of the review and proposed capital works to refurbish the properties agreed at Full Council in Dec '22   _x000a_ - Ensure alternative and adequate resources are available"/>
    <m/>
    <n v="3"/>
    <n v="4"/>
    <s v="Major"/>
    <s v="Moderate"/>
    <s v="Monitor costs at Programme Board"/>
    <m/>
    <m/>
    <m/>
    <s v="Director of Housing, Planning and Regeneration"/>
    <n v="50011"/>
    <n v="1"/>
    <n v="50011"/>
    <n v="50011"/>
    <n v="0.8"/>
    <n v="40008.800000000003"/>
    <n v="10002.199999999997"/>
    <n v="0.19999999999999996"/>
    <e v="#N/A"/>
  </r>
  <r>
    <m/>
    <x v="4"/>
    <s v="Strategic Objectives &amp; Adaptability KRI"/>
    <m/>
    <s v="Operational Property Repair _x000a_Buildings within the OPR Programme fail prior to commencement of works"/>
    <s v="Cause(s): _x000a_1. Infrastructure that is beyond economic repair fails   _x000a_                             _x000a_Effect: _x000a_1. The property cannot be occupied  _x000a_2. A Council service or stakeholder is unable to continue to offer a service from the property _x000a_3. There is a health &amp; safety incident 5. The Council suffers financial and/or reputational loss "/>
    <m/>
    <n v="4"/>
    <n v="5"/>
    <s v="Severe"/>
    <m/>
    <s v="Works on  properties known to be at risk are being accelerated "/>
    <m/>
    <n v="3"/>
    <n v="4"/>
    <s v="Major"/>
    <s v="Severe"/>
    <s v="Monitor Facilities Management reports of infrastructure failure "/>
    <m/>
    <m/>
    <m/>
    <s v="Director of Housing, Planning and Regeneration"/>
    <n v="50012"/>
    <n v="1"/>
    <n v="50012"/>
    <n v="50012"/>
    <n v="0.8"/>
    <n v="40009.600000000006"/>
    <n v="10002.399999999994"/>
    <n v="0.19999999999999987"/>
    <e v="#N/A"/>
  </r>
  <r>
    <m/>
    <x v="2"/>
    <s v="Building Control Safety Compliance KRI"/>
    <m/>
    <s v="Recruitment and Retention_x000a_Ineffective recruitment and retention strategies for hard to fill posts "/>
    <s v="Cause(s):_x000a_1. Physical environment/hygiene facilities_x000a_2. Culture _x000a_3. Increasingly fluid market_x000a_4. Increases in demand and/or reductions in supply_x000a_5. Lack of experienced staff in the labour pool_x000a_6. Budget constraints_x000a_7. Lack of leadership_x000a_8. Failure to compete with other organisations to recruit the highest quality candidates to build an agile work force_x000a_9. Cost of living rises deter potential candidates from working in London_x000a_10. Recruitment can fluctuate due to external pressures_x000a_Effect(s):_x000a_1. Potential service delivery impacts_x000a_2. Increased costs due to use of agency workers_x000a_3. Reduction in quality of service"/>
    <s v="Personnel / Operational"/>
    <n v="4"/>
    <n v="3"/>
    <s v="Major"/>
    <m/>
    <s v="1. Horizon scanning to anticipate changes and trends to staff complement_x000a_2. Keeping up to date on national trends for hard to recruit professions_x000a_3. Case load review_x000a_4. Review of pay and comparison with neighbouring LAs_x000a_5. R&amp;R Board to regularly review_x000a_6. No Quit Policy in place_x000a_7. Implement grow your own initiatives e.g. senior practitioners progression pathway, training pathways for social workers, graduate trainees, apprentices                   _x000a_8. Overseas recruitment                                                                                                               _x000a_9. Signed up to the London Pledge - all Councils have a memorandum or understanding to pay social workers same rate                                                                 _x000a_10. LBB staff present at recruitment fairs/events  _x000a_11. Dedicated HR team to support managers in recruiting hard to fill positions in CSC and Education_x000a_12. Recruitment drive to convert locums to permanent staff_x000a_13. Exit interviews to understand why staff leave _x000a_14. Recruitment event took place in January 2023"/>
    <m/>
    <n v="3"/>
    <n v="3"/>
    <s v="Major"/>
    <s v="Severe"/>
    <s v="1. Review of retention strategies_x000a_2. Development of a Talent Management Strategy._x000a_3. Consideration to resurrect 'Future Leaders Programme'   _x000a_"/>
    <m/>
    <m/>
    <m/>
    <s v="Director of HR, Customer Services and Public Affairs"/>
    <n v="50013"/>
    <n v="0.6"/>
    <n v="30007.8"/>
    <n v="50013"/>
    <n v="0.6"/>
    <n v="30007.8"/>
    <n v="0"/>
    <n v="0"/>
    <e v="#N/A"/>
  </r>
  <r>
    <m/>
    <x v="4"/>
    <s v="Building Control Safety Compliance KRI"/>
    <m/>
    <s v="Deleterious Materials -_x000a_Discovery of Deleterious Materials in the construction and fit out of properties owned or occupied by the Council."/>
    <s v="Causes:_x000a_Use of deleterious material in building construction and fit out that are harmful to human health._x000a_Use of deleterious material in building construction and fit out which cause of long-term failure in building fabric and/or structure._x000a_ _x000a_Effects:_x000a_Release of substances harmful to human health resulting in…. short- and long-term harm to employees, members, visitors and general public_x000a_Failure of building structure resulting in…acute harm to employees, members, visitors and general public_x000a_Closure or partial closure of buildings leading to temporary relocation and impact on Service delivery._x000a_Non-co-operation of tenants leading to Council having to result to dispute resolution to access building. Possibility of compensation if lease has such a clause._x000a_Investigation by the HSE leading to possible prosecution."/>
    <s v="Health &amp; safety"/>
    <n v="4"/>
    <n v="3"/>
    <s v="Major"/>
    <m/>
    <s v="_x000a_Council is complying with existing HSE and industry guidance including Health and Safety at Work regulations._x000a_Specification of all works to properties commissioned by the Property and Regen Teams ban the use of deleterious materials._x000a_Property and Regen to ensure Asbestos Management Surveys in place across the Councils’ property portfolio._x000a_RAAC surveys commissioned by Property and Regen to cover the Councils’ property portfolio.                                                   "/>
    <m/>
    <n v="3"/>
    <n v="3"/>
    <s v="Major"/>
    <s v="Severe"/>
    <s v="Continued training on deleterious materials for property and regen staff (asbestos awareness etc). Council to hold a register of all identified deleterious material across the estate with mitigation plans were identified.                                                                                            Following the announcement of HSE asbestos management inspections of Councils, an external retained health and safety consultant will be reviewing the asbestos management arrangements in LBB."/>
    <m/>
    <m/>
    <m/>
    <s v="Director of Housing, Planning and Regeneration"/>
    <n v="50014"/>
    <n v="0.6"/>
    <n v="30008.399999999998"/>
    <n v="50014"/>
    <n v="0.6"/>
    <n v="30008.399999999998"/>
    <n v="0"/>
    <n v="0"/>
    <e v="#N/A"/>
  </r>
  <r>
    <s v="PR_0005"/>
    <x v="0"/>
    <s v="Building Control Safety Compliance KRI"/>
    <d v="2026-02-28T00:00:00"/>
    <s v="Failure to deliver a sustainable Financial Strategy which meets with Making Bromley Even Better priorities and failure of individual departments to meet budget _x000a__x000a_"/>
    <s v="Cause(s):_x000a_1. The Council Tax Report 2025/26 Budget (including future years financial forecast) reported to Executive on 12th February 2025 identified the need to reduce the Council's future years 'budget gap'.   _x000a_2. The Government has consulted on its review of the existing local government finance system (now known as Fair Funding 2.0) is expected to be implemented from  2026/27 and is expected to result in real terms reduction in future funding over the next three years. The significant levels of cost/growth pressures relating to SEN, social care and homelessness continue and there remains uncertainty relating to future cost increases arising from service inflation for some time. These factors can have a significant impact on the future years'  'budget gap'. An update on the latest financial forecast position is being reported to Executive in September. _x000a_3. Failure to meet departmental budgets due to increased demand on key services resulting in overspends: housing (homelessness and cost of bed and breakfast); adult social care (demographic changes including ageing population); children's social care,  education (central costs, high needs transport and DSG deficit), waste (growing number of households), Dedicated Schools Grant deficit increases and limited delivery of planned mitigation savings._x000a_4. New capital schemes may be required with the associated revenue impact (including financing) adding to the Council's 'budget gap' to meet._x000a_5. Dependency on external grants to fund services (schools and housing benefits are ring-fenced) - effect if specific grants reduce or cease._x000a_6. Increases in national living wage will have cost implications to the Council over the next few years (e.g. care providers and carers).  _x000a_7. Local government may be required to take on new funding responsibilities in the future without adequate funding._x000a_8. Ongoing risk of inflation exceeding Bank of England inflation target levels._x000a_9. Failure to identify and highlight frauds and weaknesses in the system of internal control (which invariably have a financial impact). Overall, identified fraud losses are mainly benefit related (Council Tax Support / Single Person Discount)._x000a__x000a_Effect(s):_x000a_1. Increased overspends in particular services_x000a_2. Council unable to carry out its statutory duties due to services cuts_x000a_3. Reputational damage_x000a_4. Risk of having to seek Exceptional Financial Support (EFS) or ultimately a Section 114 notice  _x000a_"/>
    <s v="Finance_x000a__x000a_Financial"/>
    <n v="5"/>
    <n v="4"/>
    <s v="Severe"/>
    <m/>
    <s v=" - Regular update to forward forecast_x000a_- Regular analysis of funding changes and new burdens including full year impact                                                                                                                _x000a_- Transformation options considered early in the four year forward planning period_x000a_- Budget monitoring to include action from relevant Director to address overspends including action to address any full year additional cost_x000a_- Mitigation of future cost pressures including demographic changes_x000a_ - Quarterly review of growth pressures and mitigation_x000a_- Growth Reduction Board chaired by Chief Executive  "/>
    <m/>
    <n v="5"/>
    <n v="3"/>
    <s v="Severe"/>
    <s v="Severe"/>
    <s v="_x000a_'The Council continues to explore transformation opportunities to help meet the ongoing budget gap._x000a_Chief Officers will explore further measures to help reduce the overspend in 2025/26 as reported to Executive in September."/>
    <m/>
    <d v="2026-02-26T00:00:00"/>
    <m/>
    <s v="Strategic Director"/>
    <n v="100000"/>
    <n v="0.8"/>
    <n v="80000"/>
    <n v="50000"/>
    <n v="0.6"/>
    <n v="30000"/>
    <n v="50000"/>
    <n v="0.625"/>
    <e v="#N/A"/>
  </r>
  <r>
    <s v="PR_0006"/>
    <x v="1"/>
    <s v="Strategic Objectives &amp; Adaptability KRI"/>
    <m/>
    <s v="Ineffective governance and management of contracts and procurement_x000a_"/>
    <s v="Cause(s): _x000a_1. Lack of awareness and/or non-compliance with Procurement Act 2023, Public Contracts Regulations 2015,  Provider Selection Regime and Councils Contract Procedure Rules._x000a_2. Lack of awareness and/or non-compliance with decision making and scrutiny requirements._x000a_3. Insufficient engagement with key support services such as Corporate Procurement, Finance and Legal._x000a_4. Poor planning / lack of timely action for commissioning and procurement activities._x000a_5. Poor record keeping of contracts and contract documentation._x000a_6. Insufficient or unclear arrangements for client side contract management and monitoring resource._x000a_7. Failure to undertake a suitable and proportionate contract management and monitoring plan._x000a_8. Failure of a contractor / partner / provider to maintain agreed service levels resulting in an interruption to or deterioration of service delivery._x000a__x000a_Effect(s):_x000a_- Failure to ensure Value for Money_x000a_- Procurement challenges / complaints leading to delays and potential additional costs_x000a_- Reputational risk_x000a_- Service disruptions_x000a_- Contracts do not deliver expected outcomes or deliver sufficient quality_x000a_- Increased cost and resource to manage contract issues_x000a_- Failure to achieve our Making Bromley Even Better priorities."/>
    <s v="Contract Management_x000a__x000a_Contractual and Partnership "/>
    <n v="4"/>
    <n v="3"/>
    <s v="Major"/>
    <m/>
    <s v="- Gateway process to support and record all relevant procurement decisions_x000a_- Contract Procedure Rules and regular Practice / Guidance notes to all Contract Owners_x000a_- Review of contract management and contract monitoring controls including any issues identified by internal audit_x000a_- Contracts Database and Quarterly Contracts Database Report to all relevant Committees_x000a_- Quarterly RAG rated contract reports to COE/CLT with individual reports to Contract Owners_x000a_- Procurement Board oversight_x000a_- Member scrutiny including regular Contract Monitoring Reports for £500k+ contracts_x000a_- Regular programme of training delivery to staff_x000a_- Quarterly Contract Owners meetings"/>
    <m/>
    <n v="4"/>
    <n v="2"/>
    <s v="Major"/>
    <s v="Severe"/>
    <s v="- Procurement Pipeline to support forward planning and to meet new statutory requirements.  Bi-annual.  First publication by Summer 2025 (COMPLETED)._x000a_- Completion of Procurement Act 2023 national L&amp;D programme by October 2024 for all Procurement and Legal Contracts officers (COMPLETED). Training offered to all Contract Owners (COMPLETED)._x000a_- Review of all documentation to ensure compliance with Procurement Act 2023.  New documentation in place and constant review based on lessons learned and further guidance received (COMPLETED)._x000a_- Update and adoption of revised Contract Procedure Rules.  In progress with finalisation expected in Summer 2025 (COMPLETED)._x000a_- Review and updating of Contract Management library, tools, resources and processes.  In progress with completion in 2025_x000a_- Regular review of Third Party Spend, identification of any strategic procurement and process issues and follow up for remedial action and key messaging_x000a_- ongoing and repeated high profile key messaging across the Council and monitoring of compliance_x000a_"/>
    <m/>
    <m/>
    <m/>
    <s v="Strategic Lead B"/>
    <n v="50001"/>
    <n v="0.6"/>
    <n v="30000.6"/>
    <n v="50001"/>
    <n v="0.4"/>
    <n v="20000.400000000001"/>
    <n v="10000.199999999997"/>
    <n v="0.33333333333333326"/>
    <e v="#N/A"/>
  </r>
  <r>
    <s v="PR_0007"/>
    <x v="2"/>
    <s v="Programme Delivery Excellence KRI"/>
    <m/>
    <s v="Failure to maintain and develop ICT information systems to reliably support departmental service delivery_x000a_"/>
    <s v="Cause(s): _x000a_1. Some information systems not fully fit for future business purpose_x000a_2. Insufficient capacity and skill within Corporate IT and services to maintain and support systems during a period of significant change and in the future, including for individual systems _x000a_3. Increasing reliance on stability of ICT infrastructure in all areas of the Council (Lync telephony service). _x000a_4. Council website now a major channel for the delivery of services (Pay for it, Apply for it, Report it). - (Phase 2 upgrade of website planned) _x000a_6. IT failure impacting on critical operational systems._x000a_7. Over the next 3 years we will need to undertake gateway reviews / procurement plans for Council's business critical systems for example, Uniform, Housing info system and Education's Capita One system plus the main LBB website_x000a_8. Transfer of IT contract to a provider following procurement process_x000a_9. Potential risk in transferring from one site to another if there is lack of adequate support and sufficient timeframe_x000a__x000a_Effect(s):_x000a_1. Service disruptions_x000a_2. Inability to access key systems_x000a_3. Reputational damage_x000a_4. Inability to support organisation change and savings targets_x000a_5. Failure to achieve our MBEB priorities."/>
    <s v="ICT_x000a__x000a_Data and Information _x000a__x000a_Technological "/>
    <n v="4"/>
    <n v="3"/>
    <s v="Major"/>
    <m/>
    <s v="Robust backup arrangements in the new accommodation _x000a_Enhanced antivirus/cyber security._x000a_tested system restoration arrangements. _x000a_Cloud migration project_x000a_New contract_x000a_Accommodation better equipped to support resilience"/>
    <m/>
    <n v="4"/>
    <n v="2"/>
    <s v="Major"/>
    <s v="Severe"/>
    <s v="Review data storage /hosting arrangements._x000a_Completion of cloud migration, office accommodation, contract procurement and award   _x000a__x000a_"/>
    <m/>
    <m/>
    <m/>
    <s v="Strategic Lead A"/>
    <n v="50002"/>
    <n v="0.6"/>
    <n v="30001.199999999997"/>
    <n v="50002"/>
    <n v="0.4"/>
    <n v="20000.800000000003"/>
    <n v="10000.399999999994"/>
    <n v="0.33333333333333315"/>
    <e v="#N/A"/>
  </r>
  <r>
    <s v="PR_0008"/>
    <x v="2"/>
    <s v="Programme Delivery Excellence KRI"/>
    <m/>
    <s v="IT Security Failure_x000a_"/>
    <s v="Cause(s):_x000a_Failure of IT Security (responsibility across Bromley &amp; BT) to manage risk of attack or intrusion leading to potential corruption / loss of data / loss of systems_x000a_Failure of System manager  where Digital &amp; iT service (including BT) do not manage the system)_x000a_Failure to comply with relevant legislation (GDPR)_x000a_Failure to ensure the confidentiality, integrity, and availability of information assets._x000a__x000a_Effect(s):_x000a_1. Distress and/or physical impact on wellbeing of customers_x000a_2. Impact on operational integrity_x000a_3. Reputational damage to services and the authority as a whole_x000a_4. Liability in law_x000a_5. Economic damage to authority and/or customers_x000a_6. Impact on service take up due to reduced confidence from the public"/>
    <s v="ICT_x000a__x000a_Data and Information _x000a__x000a_Technological "/>
    <n v="5"/>
    <n v="4"/>
    <s v="Severe"/>
    <m/>
    <s v=" -Application of effective security management including effective application of anti- virus protection and security measures through the IT Contract with BT_x000a_- Regular Penetration Testing undertaken_x000a_- Information Security Team in place_x000a_- Patch updates undertaken regularly_x000a_- LBB is currently compliant with the Public Services Network Code of Connection (PSN CoCo), DSP Toolkit and PCI-DSS (Payment Card Industry standards)_x000a_The LBB Corporate Leadership Team formally accept the above certifications  as the basis of LBB's internal information governance and security program.  These standards are based on the ISO27001 international best practice and NCSC guidance for managing information security and are therefore fit for purpose for assessing and managing the Council's information risk_x000a_- GDPR Training programme in place_x000a_- Induction programme in place_x000a_- Additional resources to manage risks_x000a_- Security Operation Centre(SOC) has been implemented which proactively monitor of the LBB Data and Infrastructure."/>
    <m/>
    <n v="5"/>
    <n v="3"/>
    <s v="Severe"/>
    <s v="Severe"/>
    <s v=" - Review AI Policy_x000a__x000a_- Cyber Assessment Framework Stage 1 complete (action to remediate 2 findings by end of October 2025):_x000a_  &gt; Implement robust testing of disaster recovery and business continuity plans -  kick-off planning meeting scheduled for 6th August 2025_x000a__x000a_- Cyber Assessment Stage 2 _x000a_  &gt; Critical system assessment and incident response review is underway with a target cmpletion of 30th September 2025._x000a__x000a_ - Two Audits undertaken by Mazars complete (action to remediate findings):_x000a_First Report - Governance and Risk_x000a_  &gt; Sign off of Cyber Secuirty Risk Appetite_x000a_  &gt; Implement robust adherance to mandatory security and governanance training - HR now offer security and data protection training on Evolve.  The Head of Security &amp; Information Management has reviewed and amended the packages (March 2025).  HR need to now ensure that they are robustly promoting the training and reporting on compliance.  _x000a__x000a_  &gt; The second report, Key IT and Security Controls, has been issued:_x000a_  &gt; Hiring Managers are not consistently notifying IT when an officer leaves the Council - Work is in progress to design a new Joiners. Movers, Leavers and Identity Management solution._x000a_   2) Engagement with BT required to ensure that the leavers process is being carried out consistently with enhancements to the leavers Bring Your Own Device (BYOD) process._x000a__x000a_- Upgrade out of support mobile phones and iPad models"/>
    <m/>
    <m/>
    <m/>
    <s v="Strategic Lead C"/>
    <n v="50003"/>
    <n v="0.8"/>
    <n v="40002.400000000001"/>
    <n v="50003"/>
    <n v="0.6"/>
    <n v="30001.8"/>
    <n v="10000.600000000002"/>
    <n v="0.25000000000000006"/>
    <e v="#N/A"/>
  </r>
  <r>
    <s v="PR_0009"/>
    <x v="2"/>
    <s v="Programme Financial Sustainability KRI"/>
    <m/>
    <s v="Failure to maintain robust Business Continuity and Emergency Planning arrangements_x000a_"/>
    <s v="Cause(s): _x000a_1. Insufficient Emergency Planning structure and processes_x000a_2. Insufficient Business Continuity arrangements and procedures, including those of key suppliers_x000a_3. Failure to fulfil obligations under the Civil Contingencies Act 2004 as a Category One Responder_x000a_4. Inadequate partnership working and collaboration_x000a_5. Lack of buy in from senior officers _x000a_6. Lack of testing and exercising of plans and processes_x000a__x000a_Effect(s):_x000a_1. Ineffective response to an emergency / business disruption _x000a_2.Significantly prolonged service disruptions _x000a_3. Reputational damage / loss of credibility _x000a_4. Increased costs to rectify disruptions_x000a_5. Injury / harm _x000a_6. Failure to fulfil statutory duties in a timely manner_x000a_"/>
    <s v="Business Continuity_x000a__x000a_Physical_x000a__x000a_Reputational "/>
    <n v="4"/>
    <n v="3"/>
    <s v="Major"/>
    <m/>
    <s v="- Corporate business continuity management programme established_x000a_- Full suite of Business Continuity plans in place at service level across all Directorates_x000a_- Overarching Corporate Business Continuity plan developed identifying prioritisation of all services_x000a_- Corporate Major Emergency Response plan in place_x000a_- On call rota for Emergency Response Manager and at Director level_x000a_- Ongoing training, testing and exercising programme_x000a_- Continued delivery of the Business Continuity Management Process by CLT"/>
    <m/>
    <n v="3"/>
    <n v="3"/>
    <s v="Major"/>
    <s v="Severe"/>
    <s v="1. Learning from corporate testing and exercising programme embedded into review of service BCP plans taking place between May and September 24_x000a_2. Development of this year’s corporate testing and exercising programme to further embed BC practices across the organisation will take place in December 24 to February 25."/>
    <m/>
    <m/>
    <m/>
    <s v="Director of Environment and Public Protection"/>
    <n v="50004"/>
    <n v="0.6"/>
    <n v="30002.399999999998"/>
    <n v="50004"/>
    <n v="0.6"/>
    <n v="30002.399999999998"/>
    <n v="0"/>
    <n v="0"/>
    <e v="#N/A"/>
  </r>
  <r>
    <s v="PR_0010"/>
    <x v="2"/>
    <s v="Programme Financial Sustainability KRI"/>
    <m/>
    <s v="Failure to deliver effective Children's services _x000a_The Council is unable to deliver an effective children's service to fulfil its statutory obligations in safeguarding and protect those at risk of significant harm or death, sexual exploitation or missing from care"/>
    <s v="Cause(s):_x000a_1. Inability to recruit and retain sufficient numbers of staff to carry out statutory duties across the division to manage current levels of demand.                                                                                                                                                                                                      2. Budget pressures result in challenges to fulilling statutory obligations._x000a_ _x000a__x000a_Effect(s):_x000a_1. Impact on life chances and outcomes for children._x000a_2. Adverse inspection leading to reputational damage and further operational difficulties (staff leave etc)."/>
    <s v="Children's Social Care_x000a__x000a_Legal, Reputational "/>
    <n v="5"/>
    <n v="3"/>
    <s v="Severe"/>
    <m/>
    <s v=" - Multi Agency Bromley Children's Safeguarding Partnership (BCSP) Training programme 2023/24 has been agreed.                                                                                                                                                                                                        - Regular Budget monitoring sessions including Director of Finance and Assistant Director of Finance to to monitor spend and projected costs. _x000a_- Dedicated HR programme of support in place to recruit social workers to front line posts. We have recently reviewed social media publicity/&quot;Refer a Friend&quot; scheme to ensure we have a broad and comprehensive approach.  We are also currently actively recruiting from overseas. _x000a_- Scrutiny of Performance Management Framework and Indicators. _x000a_- Effective procurement framework and contract monitoring arrangements to ensure acceptable quality of service provision and value for money._x000a_- Quality Assurance Audit Programme continues to be in place. We have also added &quot;Dip Sampling&quot; of cases to the ways in which we are auditing quality of practice._x000a_- Children’s Service Practice Improvement Board; this meeting continues to be the key forum for discussing and evaluating the quality of practice.   _x000a_- Continued monitoring of caseloads to keep these in line with the Bromley Caseload Promise. _x000a_- Identified training plan for qualified social workers and other professionals reviewed and updated quarterly."/>
    <m/>
    <n v="5"/>
    <n v="2"/>
    <s v="Major"/>
    <s v="Severe"/>
    <s v="- Robust audit cycle in place. Demand Management forcasts informing MTFS   "/>
    <m/>
    <m/>
    <m/>
    <s v="Director of Children's Services"/>
    <n v="50005"/>
    <n v="0.6"/>
    <n v="30003"/>
    <n v="50005"/>
    <n v="0.4"/>
    <n v="20002"/>
    <n v="10001"/>
    <n v="0.33333333333333331"/>
    <e v="#N/A"/>
  </r>
  <r>
    <s v="PR_0011"/>
    <x v="2"/>
    <s v="Programme Financial Sustainability KRI"/>
    <m/>
    <s v="Temporary Accommodation _x000a_Inability to effectively manage the volume of people presenting themselves as homeless and the additional pressures placed on the homeless budgets. Rising cost of placements. "/>
    <s v="Cause(s): _x000a_1. Continued subsidy freeze on TA subsidy rates  _x000a_2. Rising numbers of placements (approx. 15 per month)  _x000a_3. Further reductions to local affordable sustainable options _x000a_4. Rising energy and other costs mean households are facing increasing risk of homelessness_x000a_5. Uncertainty around the impact of move on requirements for schemes such as Homes for Ukraine, Afghanistan resettlement programme_x000a_6. Withdrawal of number of private landlords and housing providers from the TA market. _x000a_7. Market reaction to interest rates, response to inflation rates, and proposed changes to legislation leading to reduction in supply._x000a_8. Reaction to supply and demand leading to increased costs_x000a_9. Increased pressure securing accommodation as a result of competition from others   _x000a__x000a_Effect(s):_x000a_1. Failure to fulfil statutory obligations _x000a_2. Impact on life chances and outcomes for individuals and families in temporary accommodation  _x000a_3. Increased risk of legal challenge due to accommodation and increased risk of Out of Borough Placements_x000a_4. Increased risk of legal challenge due to provision of accommodation (including shared accommodation and commercial hotels) _x000a_5. Pressure on other services _x000a_6. Increase in the number of out of borough placements_x000a_7. Increased length of stay in TA due to less move on opportunities_x000a_8. Costs cannot be contained within budget"/>
    <s v="Housing _x000a__x000a_Social"/>
    <n v="5"/>
    <n v="5"/>
    <s v="Severe"/>
    <m/>
    <s v="- Focus on preventing homelessness and diversion to alternative housing options through:- _x000a_- Landlord and Tenancy advice, support and sustainment_x000a_- Assistance, (including financial aid) to access the private rented sector _x000a_- Access to employment and training _x000a_- Debt, money, budgeting and welfare benefits advice, including assistance to resolve rent and mortgage arrears _x000a_- Sanctuary scheme for the protection of victims of domestic violence _x000a_- Effective contract monitoring arrangements to ensure acceptable quality of service provision and value for money  - _x000a_ - Development of social housing on LBB sites and implementation of Meadowship Homes acquisition _x000a_- Implementing the Homelessness Strategy - setting up the multi agency Homelessness forum and taking forward the priorities of the strategy_x000a_- New incentive campaign for private sector landlords embedded and benefits being realised _x000a_"/>
    <m/>
    <n v="4"/>
    <n v="5"/>
    <s v="Severe"/>
    <s v="Severe"/>
    <s v=" Phase 2 of meadowship homes property acqusition now live. Approval to progress with a further 3 housing sites under the LBB affordable housing delivery programme_x000a_- ongoing conversion of tenancies in the More Homes Bromley scheme from temporary to permanent_x000a_- Review requirement for block bookings to ensure sufficient TA supply  _x000a_- Progress counter fraud work on TA properties and explore joint fraud working with social landlords to ensure properties are occupied by intended clients._x000a_- Pursue additional grant funding to increase affordable housing supply through development acquisition and empty homes_x000a_ - Explore whether, when accommodation is lost, the Council can take on these properties instead_x000a_ - Undertake a review of arrangements with Housing Association partners to look at potential to increase number of nominations and make best use of existing housing stock"/>
    <m/>
    <m/>
    <m/>
    <s v="Director of Housing, Planning and Regeneration"/>
    <n v="50006"/>
    <n v="1"/>
    <n v="50006"/>
    <n v="50006"/>
    <n v="1"/>
    <n v="50006"/>
    <n v="0"/>
    <n v="0"/>
    <e v="#N/A"/>
  </r>
  <r>
    <m/>
    <x v="2"/>
    <s v="Programme Financial Sustainability KRI"/>
    <m/>
    <s v="Failure to deliver the Transforming Bromley Programme "/>
    <s v="Cause(s):_x000a_1. Failure to identify and put forward sufficient transformation proposals required to deliver a balanced budget in the Medium Term Financial Strategy_x000a_2. Failure to deliver appropriate mitigation of existing projected growth pressures within the financial forecast_x000a_3. Failure to appropriately resource each Transforming Bromley workstream with sufficient project support and subject matter expertise to enable the identification of proposals_x000a_4. Insufficient management oversight and governance arrangements to shape the delivery of proposals to enable Member decision making and inform budget setting for each financial year_x000a_5. Insufficient consultation and engagement with relevant stakeholders to ensure the successful delivery of proposals. _x000a_6. Additional demand pressures on council services._x000a__x000a_Effect(s)_x000a_- Inability to address the Council’s budget gap._x000a_- Unable to meet key commitments of the Medium Term Financial Strategy_x000a__x000a_"/>
    <s v="Finance_x000a__x000a_Financial"/>
    <n v="5"/>
    <n v="4"/>
    <s v="Severe"/>
    <m/>
    <s v="1. Robust governance process: fortnightly meetings of the Transformation Board, chaired by the Chief Executive and attended by Chief Officers_x000a_2. Each Transformation Board workstream attends the Transformation Board  before proposals are reviewed by Cabinet/Directors, PDS Committees and the Executive. _x000a_3. Each Transformation workstream has appropriate resources to successfully deliver proposals_x000a_4. Monthly Transformation newsletter in place to appropriately engage with key stakeholders _x000a_5. Where transformation proposals have public law implications, an appropriate assessment is carried out and stakeholders are engaged, including Procurement and Legal Services._x000a_6. Each Chief Officer gives an update at their respective PDS Committee(s) on Transformation progress _x000a_7. Transformation Fund supports the successful delivery of transformation proposals subject to a suitable business case being provided_x000a_8. A review of core statutory minimum service requirements took place to enable each service area to identify where potential savings could be and to evidence that where discretionary services are delivered. They are done so on a cost-recovery basis and/or they reduce long-term dependency on higher levels of statutory intervention which generate longer term growth pressures for the Council_x000a_9. All relevant proposals will be submitted to the Executive to inform budget setting for MTFS._x000a_10. Finance provide assurances through budget monitoring to ensure that agreed mitigation and transformation programmes are on track to deliver the savings identified. Where Directors declare a deviation from the plan, alternative proposals are sought for approval. "/>
    <m/>
    <n v="5"/>
    <n v="3"/>
    <s v="Severe"/>
    <s v="Severe"/>
    <s v="A new Transformation Plan for 2024-28 was launched in April 2024, with staff engagement._x000a__x000a_Proposals being developed for key decisions and scrutiny as necessary between October – December 2024. Options under the wide umbrella of ‘Transforming Bromley’ include improving productivity, modernisation, reducing waste, taking a graduated approach to service thresholds leading to a reduction in statutory demand, using data to review and redesign in-house and commissioned services and service reductions. Staff continue to be briefed on the programme and engaged to ensure that they are able to influence the change programme with their experiences._x000a__x000a_If growth/cost pressures continue, decisions associated to the Transformation Programme are likely to have an impact on the delivery of services to our residents and service users. "/>
    <m/>
    <m/>
    <m/>
    <s v="Chief Executive"/>
    <n v="50007"/>
    <n v="0.8"/>
    <n v="40005.600000000006"/>
    <n v="50007"/>
    <n v="0.6"/>
    <n v="30004.199999999997"/>
    <n v="10001.400000000009"/>
    <n v="0.25000000000000017"/>
    <e v="#N/A"/>
  </r>
  <r>
    <m/>
    <x v="3"/>
    <s v="Resource &amp; Capability Adequacy KRI"/>
    <m/>
    <s v="Climate Change_x000a_Failure to adapt the borough and Council services to our changing climate "/>
    <s v="Cause(s)_x000a_Severe weather events inclusing extreme heat, storms, floods etc_x000a__x000a_Effects_x000a_Resulting in threats to service service provision, environmental quality and residents' health in addition to reputational damage caused by perceived lack of action to tackle climate change_x000a_"/>
    <s v="Service Delivery "/>
    <n v="4"/>
    <n v="3"/>
    <s v="Major"/>
    <m/>
    <s v="- 1. Adopt best adaptation practice as identified through the London Councils Climate Programme - Implementation Plan for 2023 to 2025, identifying, mitigating and managing climate risks creating a green and resilient borough._x000a_2. Implementation of LBB's Carbon Management Programme _x000a_3. LBB Surface Water Management Plan and Draft Local Flood Risk Strategy_x000a_4. Establish net zero (direct) carbon emissions target for 2027 as part of 10 year climate plan_x000a_5. Climate Change included within Corporate Risk Register and risks associated with climate change e.g. increased number of extreme weather events, included within Contract Risk Registers. Note the findings of the Independent Assessment of UK Climate Risk published on a 5 cycle. _x000a_ "/>
    <m/>
    <n v="4"/>
    <n v="2"/>
    <s v="Major"/>
    <s v="Severe"/>
    <s v="1. Emergency Planning to liaise with Public Health on cross-cutting issues e.g. excess summer deaths and vector-borne disease etc._x000a_2. Detailed climate action plan developed as part of ongoing Carbon Management Programme, in order to achieve net zero organisational carbon emissions by 2027._x000a_3. Public signposting document to be developed early in 2023/24 to support homeowners and businesses to reduce their emissions."/>
    <m/>
    <m/>
    <m/>
    <s v="Director of Environment and Public Protection"/>
    <n v="50008"/>
    <n v="0.6"/>
    <n v="30004.799999999999"/>
    <n v="50008"/>
    <n v="0.4"/>
    <n v="20003.2"/>
    <n v="10001.599999999999"/>
    <n v="0.33333333333333331"/>
    <e v="#N/A"/>
  </r>
  <r>
    <s v="PR_0014"/>
    <x v="2"/>
    <s v="Resource &amp; Capability Adequacy KRI"/>
    <m/>
    <s v="Health &amp; Safety_x000a_(Fire and First Aid)_x000a__x000a_Non compliance with legislation_x000a__x000a_"/>
    <s v="Cause(s)_x000a_1. No trained fire responsible person (legal) for some sites_x000a_2. Insufficient numbers of trained fire wardens working from the site to safely manage an evacuation (in accordance with the Fire Risk Assessments) _x000a_3. Insufficient fire safety and fire fighting equipment and insufficient first aid supplies_x000a_4. Property related issues_x000a_5. Insufficient numbers of trained first aiders working from site to ensure sufficient first aid cover                                                                                                                                                                                                                                                                                           6. Insufficient arrangements for monitoring who is onsite at any given time_x000a_7. Fire risk assessments not undertaken _x000a_8. Personal emergency evacuation plans not in place_x000a__x000a_Effect(s)_x000a_- Non compliance with legislation which could lead to legal and financial consequences_x000a_- Inadequate plans for fire safety and evacuation _x000a_- Non compliance with Health and Safety (First Aid) Regulations 1981 in terms of adequate first aid provision in the form of trained first aiders and appropriate equipment if employees are injured or become ill at work_x000a_"/>
    <s v="Legislative_x000a_Reputational _x000a__x000a_Legal_x000a_Physical_x000a_Personnel_x000a__x000a_"/>
    <n v="5"/>
    <n v="4"/>
    <s v="Severe"/>
    <m/>
    <s v="- Reduced number of staff on site                                                                                                                                                                                     - All staff required to complete fire prevention and evacuation e-learning course                                                                                                                                                                                 - COE has agreed that managers will be fire wardens. Training for managers undertaken in June and July 2025                                                                                                                                                                                _x000a_-  To encourage people to become first aiders, the monthly allowance that volunteers receive was increased                                                                                                                                                                            _x000a_- Fire Safety is a standing item at Corporate Health and Safety Committee, and is discussed quarterly at CLT_x000a_- Fire Safety policy published_x000a_ - Arrangements for new accomodation implemented and are under constant_x000a_review                                                                                                                                                                            _x000a_- New first aid policy published"/>
    <m/>
    <n v="4"/>
    <n v="3"/>
    <s v="Major"/>
    <s v="Major"/>
    <s v=" _x000a_ 1. Learning and Development to arrange training on an ongoing basis. _x000a_ 2. Facilities Management to ensure Fire Risk Assessments are completed._x000a_3. Facilities Management to engage fire safety supplier to produce Emergency Plans for LBB sites. _x000a_4. Fire safety documents to be stored corporately to retain corporate knowledge.                                                       _x000a_5. Arranagments for roll calls to be considered.                                                                          _x000a_ "/>
    <m/>
    <m/>
    <m/>
    <s v="Director of Housing, Planning and Regeneration_x000a__x000a_Director of  Human Resources, Customer Services and Public Affairs"/>
    <n v="50009"/>
    <n v="0.8"/>
    <n v="40007.200000000004"/>
    <n v="50009"/>
    <n v="0.6"/>
    <n v="30005.399999999998"/>
    <n v="10001.800000000007"/>
    <n v="0.25000000000000011"/>
    <e v="#N/A"/>
  </r>
  <r>
    <s v="PR_0015"/>
    <x v="2"/>
    <s v="Resource &amp; Capability Adequacy KRI"/>
    <m/>
    <s v="Capital Financing Shortfall_x000a_Risk of significant costs increase in the Capital Programme and possible reductions in proceeds from disposals could impact on the Council's ability to fully fund the Capital programme"/>
    <s v="Cause(s):_x000a_1. Property price reductions as a result of the economic environment could have a negative impact on sale proceeds._x000a_2. Limited scope to identify further Council assets for disposal _x000a_3. Significant increase in cost of capital schemes due to inflation and supply issues requiring an increase in funding_x000a_4. Significant additional costs and future liabilities across the Council's operational estate arising from any further condition survey liabilities not identified at this stage._x000a_5. Requirement to obtain funding for significant new Housing Schemes and impact of higher borrowing costs_x000a_6. In February 2024, a report titled Capital Strategy 2024-25 to 2027-28 and Q3 Capital Programme Monitoring to Executive identified a significant increase in the Council's capital programme and resulting funding proposals given the factors identified above there is a risk that significant changes in cost and proceeds could create a new capital financing shortfall that needs to be addressed. The full funding identified excludes the potential works relating to potential works on the Churchill Theatre and library with proposals expected to be reported to Members later this year. _x000a_7. Only limited earmarked reserves available to support the capital programme, once other pressures (inc revenue budget gap) are factored in._x000a__x000a_Effect(s):_x000a_Without alternative funding, the Council would require drawdown from revenue resources. This would increase the Council's revenue budget gap and/or further deplete earmarked reserves. _x000a_2. Increased use of external borrowing would add interest cost pressure to the Council's revenue budget along with Minimum Revenue Provision requirements for repayment of borrowing_x000a_3. Schemes would not be able to progress due to lack of funding available although the scope to do this may be limited given the critical nature of some of the works required_x000a_4. Potential requirement to sell operational or income generating investment properties to fund capital costs"/>
    <s v="Economic - Strategy"/>
    <n v="4"/>
    <n v="4"/>
    <s v="Severe"/>
    <m/>
    <s v="1. Fundamental review of capital programme undertaken to inform updated Capital Strategy 2023/24 to 2026/27 as reported to Executive in January 2023 - this includes full capital programme, approved asset disposals, mitigations and agreed financing options._x000a_2. Regular reporting to Members via SAG, FSG and Executive_x000a_3. Tight control and scrutiny (by finance) of capital spending commitments as they reach the level of business case._x000a_4. Quarterly reports on capital receipts (actual and forecast) to Executive._x000a_5. Members have approved PWLB borrowing to refinance existing housing schemes (£50m via PWLB) and the additional option of up to £10m support from the Council's revenue earmarked reserves."/>
    <m/>
    <n v="4"/>
    <n v="3"/>
    <s v="Major"/>
    <s v="Major"/>
    <m/>
    <m/>
    <m/>
    <m/>
    <s v="Director of Finance"/>
    <n v="50010"/>
    <n v="0.8"/>
    <n v="40008"/>
    <n v="50010"/>
    <n v="0.6"/>
    <n v="30006"/>
    <n v="10002"/>
    <n v="0.25"/>
    <e v="#N/A"/>
  </r>
  <r>
    <m/>
    <x v="4"/>
    <s v="Strategic Objectives &amp; Adaptability KRI"/>
    <m/>
    <s v="Operational Property Repair  _x000a_The OPR Programme cannot be delivered to budget and within programme "/>
    <s v="Cause(s):_x000a_1. That building cost inflation and other economic uncertainties continue_x000a_2. The scope of works required exceeds the budget_x000a_3. The programme continues beyond the time anticipated_x000a_4. Resource to deliver the programme not available as anticipated _x000a__x000a__x000a_Effect(s):_x000a_1. Not all works required can be implemented_x000a_2. Impacted properties may continue to have repair liabilities beyond those anticipated_x000a_3. Impacted properties may not be compliant for building regulations and health &amp; safety_x000a_4. Works continue beyond the end of the anticipated programme_x000a_ "/>
    <m/>
    <n v="4"/>
    <n v="5"/>
    <s v="Severe"/>
    <m/>
    <s v="- Surveys undertaken  across the portfolio, _x000a_- Cost estimates undertaken utilising average cost per m2,_x000a_-  Executive Report on findings of the review and proposed capital works to refurbish the properties agreed at Full Council in Dec '22   _x000a_ - Ensure alternative and adequate resources are available"/>
    <m/>
    <n v="3"/>
    <n v="4"/>
    <s v="Major"/>
    <s v="Moderate"/>
    <s v="Monitor costs at Programme Board"/>
    <m/>
    <m/>
    <m/>
    <s v="Director of Housing, Planning and Regeneration"/>
    <n v="50011"/>
    <n v="1"/>
    <n v="50011"/>
    <n v="50011"/>
    <n v="0.8"/>
    <n v="40008.800000000003"/>
    <n v="10002.199999999997"/>
    <n v="0.19999999999999996"/>
    <e v="#N/A"/>
  </r>
  <r>
    <m/>
    <x v="4"/>
    <s v="Strategic Objectives &amp; Adaptability KRI"/>
    <m/>
    <s v="Operational Property Repair _x000a_Buildings within the OPR Programme fail prior to commencement of works"/>
    <s v="Cause(s): _x000a_1. Infrastructure that is beyond economic repair fails   _x000a_                             _x000a_Effect: _x000a_1. The property cannot be occupied  _x000a_2. A Council service or stakeholder is unable to continue to offer a service from the property _x000a_3. There is a health &amp; safety incident 5. The Council suffers financial and/or reputational loss "/>
    <m/>
    <n v="4"/>
    <n v="5"/>
    <s v="Severe"/>
    <m/>
    <s v="Works on  properties known to be at risk are being accelerated "/>
    <m/>
    <n v="3"/>
    <n v="4"/>
    <s v="Major"/>
    <s v="Severe"/>
    <s v="Monitor Facilities Management reports of infrastructure failure "/>
    <m/>
    <m/>
    <m/>
    <s v="Director of Housing, Planning and Regeneration"/>
    <n v="50012"/>
    <n v="1"/>
    <n v="50012"/>
    <n v="50012"/>
    <n v="0.8"/>
    <n v="40009.600000000006"/>
    <n v="10002.399999999994"/>
    <n v="0.19999999999999987"/>
    <e v="#N/A"/>
  </r>
  <r>
    <m/>
    <x v="2"/>
    <s v="Resource &amp; Capability Adequacy KRI"/>
    <m/>
    <s v="Recruitment and Retention_x000a_Ineffective recruitment and retention strategies for hard to fill posts "/>
    <s v="Cause(s):_x000a_1. Physical environment/hygiene facilities_x000a_2. Culture _x000a_3. Increasingly fluid market_x000a_4. Increases in demand and/or reductions in supply_x000a_5. Lack of experienced staff in the labour pool_x000a_6. Budget constraints_x000a_7. Lack of leadership_x000a_8. Failure to compete with other organisations to recruit the highest quality candidates to build an agile work force_x000a_9. Cost of living rises deter potential candidates from working in London_x000a_10. Recruitment can fluctuate due to external pressures_x000a_Effect(s):_x000a_1. Potential service delivery impacts_x000a_2. Increased costs due to use of agency workers_x000a_3. Reduction in quality of service"/>
    <s v="Personnel / Operational"/>
    <n v="4"/>
    <n v="3"/>
    <s v="Major"/>
    <m/>
    <s v="1. Horizon scanning to anticipate changes and trends to staff complement_x000a_2. Keeping up to date on national trends for hard to recruit professions_x000a_3. Case load review_x000a_4. Review of pay and comparison with neighbouring LAs_x000a_5. R&amp;R Board to regularly review_x000a_6. No Quit Policy in place_x000a_7. Implement grow your own initiatives e.g. senior practitioners progression pathway, training pathways for social workers, graduate trainees, apprentices                   _x000a_8. Overseas recruitment                                                                                                               _x000a_9. Signed up to the London Pledge - all Councils have a memorandum or understanding to pay social workers same rate                                                                 _x000a_10. LBB staff present at recruitment fairs/events  _x000a_11. Dedicated HR team to support managers in recruiting hard to fill positions in CSC and Education_x000a_12. Recruitment drive to convert locums to permanent staff_x000a_13. Exit interviews to understand why staff leave _x000a_14. Recruitment event took place in January 2023"/>
    <m/>
    <n v="3"/>
    <n v="3"/>
    <s v="Major"/>
    <s v="Severe"/>
    <s v="1. Review of retention strategies_x000a_2. Development of a Talent Management Strategy._x000a_3. Consideration to resurrect 'Future Leaders Programme'   _x000a_"/>
    <m/>
    <m/>
    <m/>
    <s v="Director of HR, Customer Services and Public Affairs"/>
    <n v="50013"/>
    <n v="0.6"/>
    <n v="30007.8"/>
    <n v="50013"/>
    <n v="0.6"/>
    <n v="30007.8"/>
    <n v="0"/>
    <n v="0"/>
    <e v="#N/A"/>
  </r>
  <r>
    <m/>
    <x v="4"/>
    <s v="Resource &amp; Capability Adequacy KRI"/>
    <m/>
    <s v="Deleterious Materials -_x000a_Discovery of Deleterious Materials in the construction and fit out of properties owned or occupied by the Council."/>
    <s v="Causes:_x000a_Use of deleterious material in building construction and fit out that are harmful to human health._x000a_Use of deleterious material in building construction and fit out which cause of long-term failure in building fabric and/or structure._x000a_ _x000a_Effects:_x000a_Release of substances harmful to human health resulting in…. short- and long-term harm to employees, members, visitors and general public_x000a_Failure of building structure resulting in…acute harm to employees, members, visitors and general public_x000a_Closure or partial closure of buildings leading to temporary relocation and impact on Service delivery._x000a_Non-co-operation of tenants leading to Council having to result to dispute resolution to access building. Possibility of compensation if lease has such a clause._x000a_Investigation by the HSE leading to possible prosecution."/>
    <s v="Health &amp; safety"/>
    <n v="4"/>
    <n v="3"/>
    <s v="Major"/>
    <m/>
    <s v="_x000a_Council is complying with existing HSE and industry guidance including Health and Safety at Work regulations._x000a_Specification of all works to properties commissioned by the Property and Regen Teams ban the use of deleterious materials._x000a_Property and Regen to ensure Asbestos Management Surveys in place across the Councils’ property portfolio._x000a_RAAC surveys commissioned by Property and Regen to cover the Councils’ property portfolio.                                                   "/>
    <m/>
    <n v="3"/>
    <n v="3"/>
    <s v="Major"/>
    <s v="Severe"/>
    <s v="Continued training on deleterious materials for property and regen staff (asbestos awareness etc). Council to hold a register of all identified deleterious material across the estate with mitigation plans were identified.                                                                                            Following the announcement of HSE asbestos management inspections of Councils, an external retained health and safety consultant will be reviewing the asbestos management arrangements in LBB."/>
    <m/>
    <m/>
    <m/>
    <s v="Director of Housing, Planning and Regeneration"/>
    <n v="50014"/>
    <n v="0.6"/>
    <n v="30008.399999999998"/>
    <n v="50014"/>
    <n v="0.6"/>
    <n v="30008.399999999998"/>
    <n v="0"/>
    <n v="0"/>
    <e v="#N/A"/>
  </r>
  <r>
    <s v="PR_0005"/>
    <x v="0"/>
    <s v="Supply Chain &amp; Safety Performance KRI"/>
    <d v="2026-02-28T00:00:00"/>
    <s v="Failure to deliver a sustainable Financial Strategy which meets with Making Bromley Even Better priorities and failure of individual departments to meet budget _x000a__x000a_"/>
    <s v="Cause(s):_x000a_1. The Council Tax Report 2025/26 Budget (including future years financial forecast) reported to Executive on 12th February 2025 identified the need to reduce the Council's future years 'budget gap'.   _x000a_2. The Government has consulted on its review of the existing local government finance system (now known as Fair Funding 2.0) is expected to be implemented from  2026/27 and is expected to result in real terms reduction in future funding over the next three years. The significant levels of cost/growth pressures relating to SEN, social care and homelessness continue and there remains uncertainty relating to future cost increases arising from service inflation for some time. These factors can have a significant impact on the future years'  'budget gap'. An update on the latest financial forecast position is being reported to Executive in September. _x000a_3. Failure to meet departmental budgets due to increased demand on key services resulting in overspends: housing (homelessness and cost of bed and breakfast); adult social care (demographic changes including ageing population); children's social care,  education (central costs, high needs transport and DSG deficit), waste (growing number of households), Dedicated Schools Grant deficit increases and limited delivery of planned mitigation savings._x000a_4. New capital schemes may be required with the associated revenue impact (including financing) adding to the Council's 'budget gap' to meet._x000a_5. Dependency on external grants to fund services (schools and housing benefits are ring-fenced) - effect if specific grants reduce or cease._x000a_6. Increases in national living wage will have cost implications to the Council over the next few years (e.g. care providers and carers).  _x000a_7. Local government may be required to take on new funding responsibilities in the future without adequate funding._x000a_8. Ongoing risk of inflation exceeding Bank of England inflation target levels._x000a_9. Failure to identify and highlight frauds and weaknesses in the system of internal control (which invariably have a financial impact). Overall, identified fraud losses are mainly benefit related (Council Tax Support / Single Person Discount)._x000a__x000a_Effect(s):_x000a_1. Increased overspends in particular services_x000a_2. Council unable to carry out its statutory duties due to services cuts_x000a_3. Reputational damage_x000a_4. Risk of having to seek Exceptional Financial Support (EFS) or ultimately a Section 114 notice  _x000a_"/>
    <s v="Finance_x000a__x000a_Financial"/>
    <n v="5"/>
    <n v="4"/>
    <s v="Severe"/>
    <m/>
    <s v=" - Regular update to forward forecast_x000a_- Regular analysis of funding changes and new burdens including full year impact                                                                                                                _x000a_- Transformation options considered early in the four year forward planning period_x000a_- Budget monitoring to include action from relevant Director to address overspends including action to address any full year additional cost_x000a_- Mitigation of future cost pressures including demographic changes_x000a_ - Quarterly review of growth pressures and mitigation_x000a_- Growth Reduction Board chaired by Chief Executive  "/>
    <m/>
    <n v="5"/>
    <n v="3"/>
    <s v="Severe"/>
    <s v="Severe"/>
    <s v="_x000a_'The Council continues to explore transformation opportunities to help meet the ongoing budget gap._x000a_Chief Officers will explore further measures to help reduce the overspend in 2025/26 as reported to Executive in September."/>
    <m/>
    <d v="2026-02-26T00:00:00"/>
    <m/>
    <s v="Strategic Director"/>
    <n v="100000"/>
    <n v="0.8"/>
    <n v="80000"/>
    <n v="50000"/>
    <n v="0.6"/>
    <n v="30000"/>
    <n v="50000"/>
    <n v="0.625"/>
    <e v="#N/A"/>
  </r>
  <r>
    <s v="PR_0006"/>
    <x v="1"/>
    <s v="Strategic Objectives &amp; Adaptability KRI"/>
    <m/>
    <s v="Ineffective governance and management of contracts and procurement_x000a_"/>
    <s v="Cause(s): _x000a_1. Lack of awareness and/or non-compliance with Procurement Act 2023, Public Contracts Regulations 2015,  Provider Selection Regime and Councils Contract Procedure Rules._x000a_2. Lack of awareness and/or non-compliance with decision making and scrutiny requirements._x000a_3. Insufficient engagement with key support services such as Corporate Procurement, Finance and Legal._x000a_4. Poor planning / lack of timely action for commissioning and procurement activities._x000a_5. Poor record keeping of contracts and contract documentation._x000a_6. Insufficient or unclear arrangements for client side contract management and monitoring resource._x000a_7. Failure to undertake a suitable and proportionate contract management and monitoring plan._x000a_8. Failure of a contractor / partner / provider to maintain agreed service levels resulting in an interruption to or deterioration of service delivery._x000a__x000a_Effect(s):_x000a_- Failure to ensure Value for Money_x000a_- Procurement challenges / complaints leading to delays and potential additional costs_x000a_- Reputational risk_x000a_- Service disruptions_x000a_- Contracts do not deliver expected outcomes or deliver sufficient quality_x000a_- Increased cost and resource to manage contract issues_x000a_- Failure to achieve our Making Bromley Even Better priorities."/>
    <s v="Contract Management_x000a__x000a_Contractual and Partnership "/>
    <n v="4"/>
    <n v="3"/>
    <s v="Major"/>
    <m/>
    <s v="- Gateway process to support and record all relevant procurement decisions_x000a_- Contract Procedure Rules and regular Practice / Guidance notes to all Contract Owners_x000a_- Review of contract management and contract monitoring controls including any issues identified by internal audit_x000a_- Contracts Database and Quarterly Contracts Database Report to all relevant Committees_x000a_- Quarterly RAG rated contract reports to COE/CLT with individual reports to Contract Owners_x000a_- Procurement Board oversight_x000a_- Member scrutiny including regular Contract Monitoring Reports for £500k+ contracts_x000a_- Regular programme of training delivery to staff_x000a_- Quarterly Contract Owners meetings"/>
    <m/>
    <n v="4"/>
    <n v="2"/>
    <s v="Major"/>
    <s v="Severe"/>
    <s v="- Procurement Pipeline to support forward planning and to meet new statutory requirements.  Bi-annual.  First publication by Summer 2025 (COMPLETED)._x000a_- Completion of Procurement Act 2023 national L&amp;D programme by October 2024 for all Procurement and Legal Contracts officers (COMPLETED). Training offered to all Contract Owners (COMPLETED)._x000a_- Review of all documentation to ensure compliance with Procurement Act 2023.  New documentation in place and constant review based on lessons learned and further guidance received (COMPLETED)._x000a_- Update and adoption of revised Contract Procedure Rules.  In progress with finalisation expected in Summer 2025 (COMPLETED)._x000a_- Review and updating of Contract Management library, tools, resources and processes.  In progress with completion in 2025_x000a_- Regular review of Third Party Spend, identification of any strategic procurement and process issues and follow up for remedial action and key messaging_x000a_- ongoing and repeated high profile key messaging across the Council and monitoring of compliance_x000a_"/>
    <m/>
    <m/>
    <m/>
    <s v="Strategic Lead B"/>
    <n v="50001"/>
    <n v="0.6"/>
    <n v="30000.6"/>
    <n v="50001"/>
    <n v="0.4"/>
    <n v="20000.400000000001"/>
    <n v="10000.199999999997"/>
    <n v="0.33333333333333326"/>
    <e v="#N/A"/>
  </r>
  <r>
    <s v="PR_0007"/>
    <x v="2"/>
    <s v="Supply Chain &amp; Safety Performance KRI"/>
    <m/>
    <s v="Failure to maintain and develop ICT information systems to reliably support departmental service delivery_x000a_"/>
    <s v="Cause(s): _x000a_1. Some information systems not fully fit for future business purpose_x000a_2. Insufficient capacity and skill within Corporate IT and services to maintain and support systems during a period of significant change and in the future, including for individual systems _x000a_3. Increasing reliance on stability of ICT infrastructure in all areas of the Council (Lync telephony service). _x000a_4. Council website now a major channel for the delivery of services (Pay for it, Apply for it, Report it). - (Phase 2 upgrade of website planned) _x000a_6. IT failure impacting on critical operational systems._x000a_7. Over the next 3 years we will need to undertake gateway reviews / procurement plans for Council's business critical systems for example, Uniform, Housing info system and Education's Capita One system plus the main LBB website_x000a_8. Transfer of IT contract to a provider following procurement process_x000a_9. Potential risk in transferring from one site to another if there is lack of adequate support and sufficient timeframe_x000a__x000a_Effect(s):_x000a_1. Service disruptions_x000a_2. Inability to access key systems_x000a_3. Reputational damage_x000a_4. Inability to support organisation change and savings targets_x000a_5. Failure to achieve our MBEB priorities."/>
    <s v="ICT_x000a__x000a_Data and Information _x000a__x000a_Technological "/>
    <n v="4"/>
    <n v="3"/>
    <s v="Major"/>
    <m/>
    <s v="Robust backup arrangements in the new accommodation _x000a_Enhanced antivirus/cyber security._x000a_tested system restoration arrangements. _x000a_Cloud migration project_x000a_New contract_x000a_Accommodation better equipped to support resilience"/>
    <m/>
    <n v="4"/>
    <n v="2"/>
    <s v="Major"/>
    <s v="Severe"/>
    <s v="Review data storage /hosting arrangements._x000a_Completion of cloud migration, office accommodation, contract procurement and award   _x000a__x000a_"/>
    <m/>
    <m/>
    <m/>
    <s v="Strategic Lead A"/>
    <n v="50002"/>
    <n v="0.6"/>
    <n v="30001.199999999997"/>
    <n v="50002"/>
    <n v="0.4"/>
    <n v="20000.800000000003"/>
    <n v="10000.399999999994"/>
    <n v="0.33333333333333315"/>
    <e v="#N/A"/>
  </r>
  <r>
    <s v="PR_0008"/>
    <x v="2"/>
    <s v="Supply Chain &amp; Safety Performance KRI"/>
    <m/>
    <s v="IT Security Failure_x000a_"/>
    <s v="Cause(s):_x000a_Failure of IT Security (responsibility across Bromley &amp; BT) to manage risk of attack or intrusion leading to potential corruption / loss of data / loss of systems_x000a_Failure of System manager  where Digital &amp; iT service (including BT) do not manage the system)_x000a_Failure to comply with relevant legislation (GDPR)_x000a_Failure to ensure the confidentiality, integrity, and availability of information assets._x000a__x000a_Effect(s):_x000a_1. Distress and/or physical impact on wellbeing of customers_x000a_2. Impact on operational integrity_x000a_3. Reputational damage to services and the authority as a whole_x000a_4. Liability in law_x000a_5. Economic damage to authority and/or customers_x000a_6. Impact on service take up due to reduced confidence from the public"/>
    <s v="ICT_x000a__x000a_Data and Information _x000a__x000a_Technological "/>
    <n v="5"/>
    <n v="4"/>
    <s v="Severe"/>
    <m/>
    <s v=" -Application of effective security management including effective application of anti- virus protection and security measures through the IT Contract with BT_x000a_- Regular Penetration Testing undertaken_x000a_- Information Security Team in place_x000a_- Patch updates undertaken regularly_x000a_- LBB is currently compliant with the Public Services Network Code of Connection (PSN CoCo), DSP Toolkit and PCI-DSS (Payment Card Industry standards)_x000a_The LBB Corporate Leadership Team formally accept the above certifications  as the basis of LBB's internal information governance and security program.  These standards are based on the ISO27001 international best practice and NCSC guidance for managing information security and are therefore fit for purpose for assessing and managing the Council's information risk_x000a_- GDPR Training programme in place_x000a_- Induction programme in place_x000a_- Additional resources to manage risks_x000a_- Security Operation Centre(SOC) has been implemented which proactively monitor of the LBB Data and Infrastructure."/>
    <m/>
    <n v="5"/>
    <n v="3"/>
    <s v="Severe"/>
    <s v="Severe"/>
    <s v=" - Review AI Policy_x000a__x000a_- Cyber Assessment Framework Stage 1 complete (action to remediate 2 findings by end of October 2025):_x000a_  &gt; Implement robust testing of disaster recovery and business continuity plans -  kick-off planning meeting scheduled for 6th August 2025_x000a__x000a_- Cyber Assessment Stage 2 _x000a_  &gt; Critical system assessment and incident response review is underway with a target cmpletion of 30th September 2025._x000a__x000a_ - Two Audits undertaken by Mazars complete (action to remediate findings):_x000a_First Report - Governance and Risk_x000a_  &gt; Sign off of Cyber Secuirty Risk Appetite_x000a_  &gt; Implement robust adherance to mandatory security and governanance training - HR now offer security and data protection training on Evolve.  The Head of Security &amp; Information Management has reviewed and amended the packages (March 2025).  HR need to now ensure that they are robustly promoting the training and reporting on compliance.  _x000a__x000a_  &gt; The second report, Key IT and Security Controls, has been issued:_x000a_  &gt; Hiring Managers are not consistently notifying IT when an officer leaves the Council - Work is in progress to design a new Joiners. Movers, Leavers and Identity Management solution._x000a_   2) Engagement with BT required to ensure that the leavers process is being carried out consistently with enhancements to the leavers Bring Your Own Device (BYOD) process._x000a__x000a_- Upgrade out of support mobile phones and iPad models"/>
    <m/>
    <m/>
    <m/>
    <s v="Strategic Lead C"/>
    <n v="50003"/>
    <n v="0.8"/>
    <n v="40002.400000000001"/>
    <n v="50003"/>
    <n v="0.6"/>
    <n v="30001.8"/>
    <n v="10000.600000000002"/>
    <n v="0.25000000000000006"/>
    <e v="#N/A"/>
  </r>
  <r>
    <s v="PR_0009"/>
    <x v="2"/>
    <s v="Programme Financial Sustainability KRI"/>
    <m/>
    <s v="Failure to maintain robust Business Continuity and Emergency Planning arrangements_x000a_"/>
    <s v="Cause(s): _x000a_1. Insufficient Emergency Planning structure and processes_x000a_2. Insufficient Business Continuity arrangements and procedures, including those of key suppliers_x000a_3. Failure to fulfil obligations under the Civil Contingencies Act 2004 as a Category One Responder_x000a_4. Inadequate partnership working and collaboration_x000a_5. Lack of buy in from senior officers _x000a_6. Lack of testing and exercising of plans and processes_x000a__x000a_Effect(s):_x000a_1. Ineffective response to an emergency / business disruption _x000a_2.Significantly prolonged service disruptions _x000a_3. Reputational damage / loss of credibility _x000a_4. Increased costs to rectify disruptions_x000a_5. Injury / harm _x000a_6. Failure to fulfil statutory duties in a timely manner_x000a_"/>
    <s v="Business Continuity_x000a__x000a_Physical_x000a__x000a_Reputational "/>
    <n v="4"/>
    <n v="3"/>
    <s v="Major"/>
    <m/>
    <s v="- Corporate business continuity management programme established_x000a_- Full suite of Business Continuity plans in place at service level across all Directorates_x000a_- Overarching Corporate Business Continuity plan developed identifying prioritisation of all services_x000a_- Corporate Major Emergency Response plan in place_x000a_- On call rota for Emergency Response Manager and at Director level_x000a_- Ongoing training, testing and exercising programme_x000a_- Continued delivery of the Business Continuity Management Process by CLT"/>
    <m/>
    <n v="3"/>
    <n v="3"/>
    <s v="Major"/>
    <s v="Severe"/>
    <s v="1. Learning from corporate testing and exercising programme embedded into review of service BCP plans taking place between May and September 24_x000a_2. Development of this year’s corporate testing and exercising programme to further embed BC practices across the organisation will take place in December 24 to February 25."/>
    <m/>
    <m/>
    <m/>
    <s v="Director of Environment and Public Protection"/>
    <n v="50004"/>
    <n v="0.6"/>
    <n v="30002.399999999998"/>
    <n v="50004"/>
    <n v="0.6"/>
    <n v="30002.399999999998"/>
    <n v="0"/>
    <n v="0"/>
    <e v="#N/A"/>
  </r>
  <r>
    <s v="PR_0010"/>
    <x v="2"/>
    <s v="Strategic Objectives &amp; Adaptability KRI"/>
    <m/>
    <s v="Failure to deliver effective Children's services _x000a_The Council is unable to deliver an effective children's service to fulfil its statutory obligations in safeguarding and protect those at risk of significant harm or death, sexual exploitation or missing from care"/>
    <s v="Cause(s):_x000a_1. Inability to recruit and retain sufficient numbers of staff to carry out statutory duties across the division to manage current levels of demand.                                                                                                                                                                                                      2. Budget pressures result in challenges to fulilling statutory obligations._x000a_ _x000a__x000a_Effect(s):_x000a_1. Impact on life chances and outcomes for children._x000a_2. Adverse inspection leading to reputational damage and further operational difficulties (staff leave etc)."/>
    <s v="Children's Social Care_x000a__x000a_Legal, Reputational "/>
    <n v="5"/>
    <n v="3"/>
    <s v="Severe"/>
    <m/>
    <s v=" - Multi Agency Bromley Children's Safeguarding Partnership (BCSP) Training programme 2023/24 has been agreed.                                                                                                                                                                                                        - Regular Budget monitoring sessions including Director of Finance and Assistant Director of Finance to to monitor spend and projected costs. _x000a_- Dedicated HR programme of support in place to recruit social workers to front line posts. We have recently reviewed social media publicity/&quot;Refer a Friend&quot; scheme to ensure we have a broad and comprehensive approach.  We are also currently actively recruiting from overseas. _x000a_- Scrutiny of Performance Management Framework and Indicators. _x000a_- Effective procurement framework and contract monitoring arrangements to ensure acceptable quality of service provision and value for money._x000a_- Quality Assurance Audit Programme continues to be in place. We have also added &quot;Dip Sampling&quot; of cases to the ways in which we are auditing quality of practice._x000a_- Children’s Service Practice Improvement Board; this meeting continues to be the key forum for discussing and evaluating the quality of practice.   _x000a_- Continued monitoring of caseloads to keep these in line with the Bromley Caseload Promise. _x000a_- Identified training plan for qualified social workers and other professionals reviewed and updated quarterly."/>
    <m/>
    <n v="5"/>
    <n v="2"/>
    <s v="Major"/>
    <s v="Severe"/>
    <s v="- Robust audit cycle in place. Demand Management forcasts informing MTFS   "/>
    <m/>
    <m/>
    <m/>
    <s v="Director of Children's Services"/>
    <n v="50005"/>
    <n v="0.6"/>
    <n v="30003"/>
    <n v="50005"/>
    <n v="0.4"/>
    <n v="20002"/>
    <n v="10001"/>
    <n v="0.33333333333333331"/>
    <e v="#N/A"/>
  </r>
  <r>
    <s v="PR_0011"/>
    <x v="2"/>
    <s v="Programme Financial Sustainability KRI"/>
    <m/>
    <s v="Temporary Accommodation _x000a_Inability to effectively manage the volume of people presenting themselves as homeless and the additional pressures placed on the homeless budgets. Rising cost of placements. "/>
    <s v="Cause(s): _x000a_1. Continued subsidy freeze on TA subsidy rates  _x000a_2. Rising numbers of placements (approx. 15 per month)  _x000a_3. Further reductions to local affordable sustainable options _x000a_4. Rising energy and other costs mean households are facing increasing risk of homelessness_x000a_5. Uncertainty around the impact of move on requirements for schemes such as Homes for Ukraine, Afghanistan resettlement programme_x000a_6. Withdrawal of number of private landlords and housing providers from the TA market. _x000a_7. Market reaction to interest rates, response to inflation rates, and proposed changes to legislation leading to reduction in supply._x000a_8. Reaction to supply and demand leading to increased costs_x000a_9. Increased pressure securing accommodation as a result of competition from others   _x000a__x000a_Effect(s):_x000a_1. Failure to fulfil statutory obligations _x000a_2. Impact on life chances and outcomes for individuals and families in temporary accommodation  _x000a_3. Increased risk of legal challenge due to accommodation and increased risk of Out of Borough Placements_x000a_4. Increased risk of legal challenge due to provision of accommodation (including shared accommodation and commercial hotels) _x000a_5. Pressure on other services _x000a_6. Increase in the number of out of borough placements_x000a_7. Increased length of stay in TA due to less move on opportunities_x000a_8. Costs cannot be contained within budget"/>
    <s v="Housing _x000a__x000a_Social"/>
    <n v="5"/>
    <n v="5"/>
    <s v="Severe"/>
    <m/>
    <s v="- Focus on preventing homelessness and diversion to alternative housing options through:- _x000a_- Landlord and Tenancy advice, support and sustainment_x000a_- Assistance, (including financial aid) to access the private rented sector _x000a_- Access to employment and training _x000a_- Debt, money, budgeting and welfare benefits advice, including assistance to resolve rent and mortgage arrears _x000a_- Sanctuary scheme for the protection of victims of domestic violence _x000a_- Effective contract monitoring arrangements to ensure acceptable quality of service provision and value for money  - _x000a_ - Development of social housing on LBB sites and implementation of Meadowship Homes acquisition _x000a_- Implementing the Homelessness Strategy - setting up the multi agency Homelessness forum and taking forward the priorities of the strategy_x000a_- New incentive campaign for private sector landlords embedded and benefits being realised _x000a_"/>
    <m/>
    <n v="4"/>
    <n v="5"/>
    <s v="Severe"/>
    <s v="Severe"/>
    <s v=" Phase 2 of meadowship homes property acqusition now live. Approval to progress with a further 3 housing sites under the LBB affordable housing delivery programme_x000a_- ongoing conversion of tenancies in the More Homes Bromley scheme from temporary to permanent_x000a_- Review requirement for block bookings to ensure sufficient TA supply  _x000a_- Progress counter fraud work on TA properties and explore joint fraud working with social landlords to ensure properties are occupied by intended clients._x000a_- Pursue additional grant funding to increase affordable housing supply through development acquisition and empty homes_x000a_ - Explore whether, when accommodation is lost, the Council can take on these properties instead_x000a_ - Undertake a review of arrangements with Housing Association partners to look at potential to increase number of nominations and make best use of existing housing stock"/>
    <m/>
    <m/>
    <m/>
    <s v="Director of Housing, Planning and Regeneration"/>
    <n v="50006"/>
    <n v="1"/>
    <n v="50006"/>
    <n v="50006"/>
    <n v="1"/>
    <n v="50006"/>
    <n v="0"/>
    <n v="0"/>
    <e v="#N/A"/>
  </r>
  <r>
    <m/>
    <x v="2"/>
    <s v="Strategic Objectives &amp; Adaptability KRI"/>
    <m/>
    <s v="Failure to deliver the Transforming Bromley Programme "/>
    <s v="Cause(s):_x000a_1. Failure to identify and put forward sufficient transformation proposals required to deliver a balanced budget in the Medium Term Financial Strategy_x000a_2. Failure to deliver appropriate mitigation of existing projected growth pressures within the financial forecast_x000a_3. Failure to appropriately resource each Transforming Bromley workstream with sufficient project support and subject matter expertise to enable the identification of proposals_x000a_4. Insufficient management oversight and governance arrangements to shape the delivery of proposals to enable Member decision making and inform budget setting for each financial year_x000a_5. Insufficient consultation and engagement with relevant stakeholders to ensure the successful delivery of proposals. _x000a_6. Additional demand pressures on council services._x000a__x000a_Effect(s)_x000a_- Inability to address the Council’s budget gap._x000a_- Unable to meet key commitments of the Medium Term Financial Strategy_x000a__x000a_"/>
    <s v="Finance_x000a__x000a_Financial"/>
    <n v="5"/>
    <n v="4"/>
    <s v="Severe"/>
    <m/>
    <s v="1. Robust governance process: fortnightly meetings of the Transformation Board, chaired by the Chief Executive and attended by Chief Officers_x000a_2. Each Transformation Board workstream attends the Transformation Board  before proposals are reviewed by Cabinet/Directors, PDS Committees and the Executive. _x000a_3. Each Transformation workstream has appropriate resources to successfully deliver proposals_x000a_4. Monthly Transformation newsletter in place to appropriately engage with key stakeholders _x000a_5. Where transformation proposals have public law implications, an appropriate assessment is carried out and stakeholders are engaged, including Procurement and Legal Services._x000a_6. Each Chief Officer gives an update at their respective PDS Committee(s) on Transformation progress _x000a_7. Transformation Fund supports the successful delivery of transformation proposals subject to a suitable business case being provided_x000a_8. A review of core statutory minimum service requirements took place to enable each service area to identify where potential savings could be and to evidence that where discretionary services are delivered. They are done so on a cost-recovery basis and/or they reduce long-term dependency on higher levels of statutory intervention which generate longer term growth pressures for the Council_x000a_9. All relevant proposals will be submitted to the Executive to inform budget setting for MTFS._x000a_10. Finance provide assurances through budget monitoring to ensure that agreed mitigation and transformation programmes are on track to deliver the savings identified. Where Directors declare a deviation from the plan, alternative proposals are sought for approval. "/>
    <m/>
    <n v="5"/>
    <n v="3"/>
    <s v="Severe"/>
    <s v="Severe"/>
    <s v="A new Transformation Plan for 2024-28 was launched in April 2024, with staff engagement._x000a__x000a_Proposals being developed for key decisions and scrutiny as necessary between October – December 2024. Options under the wide umbrella of ‘Transforming Bromley’ include improving productivity, modernisation, reducing waste, taking a graduated approach to service thresholds leading to a reduction in statutory demand, using data to review and redesign in-house and commissioned services and service reductions. Staff continue to be briefed on the programme and engaged to ensure that they are able to influence the change programme with their experiences._x000a__x000a_If growth/cost pressures continue, decisions associated to the Transformation Programme are likely to have an impact on the delivery of services to our residents and service users. "/>
    <m/>
    <m/>
    <m/>
    <s v="Chief Executive"/>
    <n v="50007"/>
    <n v="0.8"/>
    <n v="40005.600000000006"/>
    <n v="50007"/>
    <n v="0.6"/>
    <n v="30004.199999999997"/>
    <n v="10001.400000000009"/>
    <n v="0.25000000000000017"/>
    <e v="#N/A"/>
  </r>
  <r>
    <m/>
    <x v="3"/>
    <s v="Resource &amp; Capability Adequacy KRI"/>
    <m/>
    <s v="Climate Change_x000a_Failure to adapt the borough and Council services to our changing climate "/>
    <s v="Cause(s)_x000a_Severe weather events inclusing extreme heat, storms, floods etc_x000a__x000a_Effects_x000a_Resulting in threats to service service provision, environmental quality and residents' health in addition to reputational damage caused by perceived lack of action to tackle climate change_x000a_"/>
    <s v="Service Delivery "/>
    <n v="4"/>
    <n v="3"/>
    <s v="Major"/>
    <m/>
    <s v="- 1. Adopt best adaptation practice as identified through the London Councils Climate Programme - Implementation Plan for 2023 to 2025, identifying, mitigating and managing climate risks creating a green and resilient borough._x000a_2. Implementation of LBB's Carbon Management Programme _x000a_3. LBB Surface Water Management Plan and Draft Local Flood Risk Strategy_x000a_4. Establish net zero (direct) carbon emissions target for 2027 as part of 10 year climate plan_x000a_5. Climate Change included within Corporate Risk Register and risks associated with climate change e.g. increased number of extreme weather events, included within Contract Risk Registers. Note the findings of the Independent Assessment of UK Climate Risk published on a 5 cycle. _x000a_ "/>
    <m/>
    <n v="4"/>
    <n v="2"/>
    <s v="Major"/>
    <s v="Severe"/>
    <s v="1. Emergency Planning to liaise with Public Health on cross-cutting issues e.g. excess summer deaths and vector-borne disease etc._x000a_2. Detailed climate action plan developed as part of ongoing Carbon Management Programme, in order to achieve net zero organisational carbon emissions by 2027._x000a_3. Public signposting document to be developed early in 2023/24 to support homeowners and businesses to reduce their emissions."/>
    <m/>
    <m/>
    <m/>
    <s v="Director of Environment and Public Protection"/>
    <n v="50008"/>
    <n v="0.6"/>
    <n v="30004.799999999999"/>
    <n v="50008"/>
    <n v="0.4"/>
    <n v="20003.2"/>
    <n v="10001.599999999999"/>
    <n v="0.33333333333333331"/>
    <e v="#N/A"/>
  </r>
  <r>
    <s v="PR_0014"/>
    <x v="2"/>
    <s v="Resource &amp; Capability Adequacy KRI"/>
    <m/>
    <s v="Health &amp; Safety_x000a_(Fire and First Aid)_x000a__x000a_Non compliance with legislation_x000a__x000a_"/>
    <s v="Cause(s)_x000a_1. No trained fire responsible person (legal) for some sites_x000a_2. Insufficient numbers of trained fire wardens working from the site to safely manage an evacuation (in accordance with the Fire Risk Assessments) _x000a_3. Insufficient fire safety and fire fighting equipment and insufficient first aid supplies_x000a_4. Property related issues_x000a_5. Insufficient numbers of trained first aiders working from site to ensure sufficient first aid cover                                                                                                                                                                                                                                                                                           6. Insufficient arrangements for monitoring who is onsite at any given time_x000a_7. Fire risk assessments not undertaken _x000a_8. Personal emergency evacuation plans not in place_x000a__x000a_Effect(s)_x000a_- Non compliance with legislation which could lead to legal and financial consequences_x000a_- Inadequate plans for fire safety and evacuation _x000a_- Non compliance with Health and Safety (First Aid) Regulations 1981 in terms of adequate first aid provision in the form of trained first aiders and appropriate equipment if employees are injured or become ill at work_x000a_"/>
    <s v="Legislative_x000a_Reputational _x000a__x000a_Legal_x000a_Physical_x000a_Personnel_x000a__x000a_"/>
    <n v="5"/>
    <n v="4"/>
    <s v="Severe"/>
    <m/>
    <s v="- Reduced number of staff on site                                                                                                                                                                                     - All staff required to complete fire prevention and evacuation e-learning course                                                                                                                                                                                 - COE has agreed that managers will be fire wardens. Training for managers undertaken in June and July 2025                                                                                                                                                                                _x000a_-  To encourage people to become first aiders, the monthly allowance that volunteers receive was increased                                                                                                                                                                            _x000a_- Fire Safety is a standing item at Corporate Health and Safety Committee, and is discussed quarterly at CLT_x000a_- Fire Safety policy published_x000a_ - Arrangements for new accomodation implemented and are under constant_x000a_review                                                                                                                                                                            _x000a_- New first aid policy published"/>
    <m/>
    <n v="4"/>
    <n v="3"/>
    <s v="Major"/>
    <s v="Major"/>
    <s v=" _x000a_ 1. Learning and Development to arrange training on an ongoing basis. _x000a_ 2. Facilities Management to ensure Fire Risk Assessments are completed._x000a_3. Facilities Management to engage fire safety supplier to produce Emergency Plans for LBB sites. _x000a_4. Fire safety documents to be stored corporately to retain corporate knowledge.                                                       _x000a_5. Arranagments for roll calls to be considered.                                                                          _x000a_ "/>
    <m/>
    <m/>
    <m/>
    <s v="Director of Housing, Planning and Regeneration_x000a__x000a_Director of  Human Resources, Customer Services and Public Affairs"/>
    <n v="50009"/>
    <n v="0.8"/>
    <n v="40007.200000000004"/>
    <n v="50009"/>
    <n v="0.6"/>
    <n v="30005.399999999998"/>
    <n v="10001.800000000007"/>
    <n v="0.25000000000000011"/>
    <e v="#N/A"/>
  </r>
  <r>
    <s v="PR_0015"/>
    <x v="2"/>
    <s v="Programme Delivery Excellence KRI"/>
    <m/>
    <s v="Capital Financing Shortfall_x000a_Risk of significant costs increase in the Capital Programme and possible reductions in proceeds from disposals could impact on the Council's ability to fully fund the Capital programme"/>
    <s v="Cause(s):_x000a_1. Property price reductions as a result of the economic environment could have a negative impact on sale proceeds._x000a_2. Limited scope to identify further Council assets for disposal _x000a_3. Significant increase in cost of capital schemes due to inflation and supply issues requiring an increase in funding_x000a_4. Significant additional costs and future liabilities across the Council's operational estate arising from any further condition survey liabilities not identified at this stage._x000a_5. Requirement to obtain funding for significant new Housing Schemes and impact of higher borrowing costs_x000a_6. In February 2024, a report titled Capital Strategy 2024-25 to 2027-28 and Q3 Capital Programme Monitoring to Executive identified a significant increase in the Council's capital programme and resulting funding proposals given the factors identified above there is a risk that significant changes in cost and proceeds could create a new capital financing shortfall that needs to be addressed. The full funding identified excludes the potential works relating to potential works on the Churchill Theatre and library with proposals expected to be reported to Members later this year. _x000a_7. Only limited earmarked reserves available to support the capital programme, once other pressures (inc revenue budget gap) are factored in._x000a__x000a_Effect(s):_x000a_Without alternative funding, the Council would require drawdown from revenue resources. This would increase the Council's revenue budget gap and/or further deplete earmarked reserves. _x000a_2. Increased use of external borrowing would add interest cost pressure to the Council's revenue budget along with Minimum Revenue Provision requirements for repayment of borrowing_x000a_3. Schemes would not be able to progress due to lack of funding available although the scope to do this may be limited given the critical nature of some of the works required_x000a_4. Potential requirement to sell operational or income generating investment properties to fund capital costs"/>
    <s v="Economic - Strategy"/>
    <n v="4"/>
    <n v="4"/>
    <s v="Severe"/>
    <m/>
    <s v="1. Fundamental review of capital programme undertaken to inform updated Capital Strategy 2023/24 to 2026/27 as reported to Executive in January 2023 - this includes full capital programme, approved asset disposals, mitigations and agreed financing options._x000a_2. Regular reporting to Members via SAG, FSG and Executive_x000a_3. Tight control and scrutiny (by finance) of capital spending commitments as they reach the level of business case._x000a_4. Quarterly reports on capital receipts (actual and forecast) to Executive._x000a_5. Members have approved PWLB borrowing to refinance existing housing schemes (£50m via PWLB) and the additional option of up to £10m support from the Council's revenue earmarked reserves."/>
    <m/>
    <n v="4"/>
    <n v="3"/>
    <s v="Major"/>
    <s v="Major"/>
    <m/>
    <m/>
    <m/>
    <m/>
    <s v="Director of Finance"/>
    <n v="50010"/>
    <n v="0.8"/>
    <n v="40008"/>
    <n v="50010"/>
    <n v="0.6"/>
    <n v="30006"/>
    <n v="10002"/>
    <n v="0.25"/>
    <e v="#N/A"/>
  </r>
  <r>
    <m/>
    <x v="4"/>
    <s v="Programme Financial Sustainability KRI"/>
    <m/>
    <s v="Operational Property Repair  _x000a_The OPR Programme cannot be delivered to budget and within programme "/>
    <s v="Cause(s):_x000a_1. That building cost inflation and other economic uncertainties continue_x000a_2. The scope of works required exceeds the budget_x000a_3. The programme continues beyond the time anticipated_x000a_4. Resource to deliver the programme not available as anticipated _x000a__x000a__x000a_Effect(s):_x000a_1. Not all works required can be implemented_x000a_2. Impacted properties may continue to have repair liabilities beyond those anticipated_x000a_3. Impacted properties may not be compliant for building regulations and health &amp; safety_x000a_4. Works continue beyond the end of the anticipated programme_x000a_ "/>
    <m/>
    <n v="4"/>
    <n v="5"/>
    <s v="Severe"/>
    <m/>
    <s v="- Surveys undertaken  across the portfolio, _x000a_- Cost estimates undertaken utilising average cost per m2,_x000a_-  Executive Report on findings of the review and proposed capital works to refurbish the properties agreed at Full Council in Dec '22   _x000a_ - Ensure alternative and adequate resources are available"/>
    <m/>
    <n v="3"/>
    <n v="4"/>
    <s v="Major"/>
    <s v="Moderate"/>
    <s v="Monitor costs at Programme Board"/>
    <m/>
    <m/>
    <m/>
    <s v="Director of Housing, Planning and Regeneration"/>
    <n v="50011"/>
    <n v="1"/>
    <n v="50011"/>
    <n v="50011"/>
    <n v="0.8"/>
    <n v="40008.800000000003"/>
    <n v="10002.199999999997"/>
    <n v="0.19999999999999996"/>
    <e v="#N/A"/>
  </r>
  <r>
    <m/>
    <x v="4"/>
    <s v="Strategic Objectives &amp; Adaptability KRI"/>
    <m/>
    <s v="Operational Property Repair _x000a_Buildings within the OPR Programme fail prior to commencement of works"/>
    <s v="Cause(s): _x000a_1. Infrastructure that is beyond economic repair fails   _x000a_                             _x000a_Effect: _x000a_1. The property cannot be occupied  _x000a_2. A Council service or stakeholder is unable to continue to offer a service from the property _x000a_3. There is a health &amp; safety incident 5. The Council suffers financial and/or reputational loss "/>
    <m/>
    <n v="4"/>
    <n v="5"/>
    <s v="Severe"/>
    <m/>
    <s v="Works on  properties known to be at risk are being accelerated "/>
    <m/>
    <n v="3"/>
    <n v="4"/>
    <s v="Major"/>
    <s v="Severe"/>
    <s v="Monitor Facilities Management reports of infrastructure failure "/>
    <m/>
    <m/>
    <m/>
    <s v="Director of Housing, Planning and Regeneration"/>
    <n v="50012"/>
    <n v="1"/>
    <n v="50012"/>
    <n v="50012"/>
    <n v="0.8"/>
    <n v="40009.600000000006"/>
    <n v="10002.399999999994"/>
    <n v="0.19999999999999987"/>
    <e v="#N/A"/>
  </r>
  <r>
    <m/>
    <x v="2"/>
    <s v="Supply Chain &amp; Safety Performance KRI"/>
    <m/>
    <s v="Recruitment and Retention_x000a_Ineffective recruitment and retention strategies for hard to fill posts "/>
    <s v="Cause(s):_x000a_1. Physical environment/hygiene facilities_x000a_2. Culture _x000a_3. Increasingly fluid market_x000a_4. Increases in demand and/or reductions in supply_x000a_5. Lack of experienced staff in the labour pool_x000a_6. Budget constraints_x000a_7. Lack of leadership_x000a_8. Failure to compete with other organisations to recruit the highest quality candidates to build an agile work force_x000a_9. Cost of living rises deter potential candidates from working in London_x000a_10. Recruitment can fluctuate due to external pressures_x000a_Effect(s):_x000a_1. Potential service delivery impacts_x000a_2. Increased costs due to use of agency workers_x000a_3. Reduction in quality of service"/>
    <s v="Personnel / Operational"/>
    <n v="4"/>
    <n v="3"/>
    <s v="Major"/>
    <m/>
    <s v="1. Horizon scanning to anticipate changes and trends to staff complement_x000a_2. Keeping up to date on national trends for hard to recruit professions_x000a_3. Case load review_x000a_4. Review of pay and comparison with neighbouring LAs_x000a_5. R&amp;R Board to regularly review_x000a_6. No Quit Policy in place_x000a_7. Implement grow your own initiatives e.g. senior practitioners progression pathway, training pathways for social workers, graduate trainees, apprentices                   _x000a_8. Overseas recruitment                                                                                                               _x000a_9. Signed up to the London Pledge - all Councils have a memorandum or understanding to pay social workers same rate                                                                 _x000a_10. LBB staff present at recruitment fairs/events  _x000a_11. Dedicated HR team to support managers in recruiting hard to fill positions in CSC and Education_x000a_12. Recruitment drive to convert locums to permanent staff_x000a_13. Exit interviews to understand why staff leave _x000a_14. Recruitment event took place in January 2023"/>
    <m/>
    <n v="3"/>
    <n v="3"/>
    <s v="Major"/>
    <s v="Severe"/>
    <s v="1. Review of retention strategies_x000a_2. Development of a Talent Management Strategy._x000a_3. Consideration to resurrect 'Future Leaders Programme'   _x000a_"/>
    <m/>
    <m/>
    <m/>
    <s v="Director of HR, Customer Services and Public Affairs"/>
    <n v="50013"/>
    <n v="0.6"/>
    <n v="30007.8"/>
    <n v="50013"/>
    <n v="0.6"/>
    <n v="30007.8"/>
    <n v="0"/>
    <n v="0"/>
    <e v="#N/A"/>
  </r>
  <r>
    <m/>
    <x v="4"/>
    <s v="Programme Financial Sustainability KRI"/>
    <m/>
    <s v="Deleterious Materials -_x000a_Discovery of Deleterious Materials in the construction and fit out of properties owned or occupied by the Council."/>
    <s v="Causes:_x000a_Use of deleterious material in building construction and fit out that are harmful to human health._x000a_Use of deleterious material in building construction and fit out which cause of long-term failure in building fabric and/or structure._x000a_ _x000a_Effects:_x000a_Release of substances harmful to human health resulting in…. short- and long-term harm to employees, members, visitors and general public_x000a_Failure of building structure resulting in…acute harm to employees, members, visitors and general public_x000a_Closure or partial closure of buildings leading to temporary relocation and impact on Service delivery._x000a_Non-co-operation of tenants leading to Council having to result to dispute resolution to access building. Possibility of compensation if lease has such a clause._x000a_Investigation by the HSE leading to possible prosecution."/>
    <s v="Health &amp; safety"/>
    <n v="4"/>
    <n v="3"/>
    <s v="Major"/>
    <m/>
    <s v="_x000a_Council is complying with existing HSE and industry guidance including Health and Safety at Work regulations._x000a_Specification of all works to properties commissioned by the Property and Regen Teams ban the use of deleterious materials._x000a_Property and Regen to ensure Asbestos Management Surveys in place across the Councils’ property portfolio._x000a_RAAC surveys commissioned by Property and Regen to cover the Councils’ property portfolio.                                                   "/>
    <m/>
    <n v="3"/>
    <n v="3"/>
    <s v="Major"/>
    <s v="Severe"/>
    <s v="Continued training on deleterious materials for property and regen staff (asbestos awareness etc). Council to hold a register of all identified deleterious material across the estate with mitigation plans were identified.                                                                                            Following the announcement of HSE asbestos management inspections of Councils, an external retained health and safety consultant will be reviewing the asbestos management arrangements in LBB."/>
    <m/>
    <m/>
    <m/>
    <s v="Director of Housing, Planning and Regeneration"/>
    <n v="50014"/>
    <n v="0.6"/>
    <n v="30008.399999999998"/>
    <n v="50014"/>
    <n v="0.6"/>
    <n v="30008.399999999998"/>
    <n v="0"/>
    <n v="0"/>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9B2E4-1C7B-483E-A6D9-A50011172176}"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4" firstHeaderRow="0" firstDataRow="1" firstDataCol="1"/>
  <pivotFields count="31">
    <pivotField showAll="0"/>
    <pivotField axis="axisRow" showAll="0">
      <items count="28">
        <item m="1" x="17"/>
        <item m="1" x="7"/>
        <item m="1" x="18"/>
        <item m="1" x="22"/>
        <item m="1" x="8"/>
        <item m="1" x="26"/>
        <item m="1" x="25"/>
        <item m="1" x="24"/>
        <item m="1" x="23"/>
        <item m="1" x="20"/>
        <item m="1" x="5"/>
        <item x="1"/>
        <item m="1" x="6"/>
        <item x="0"/>
        <item m="1" x="21"/>
        <item m="1" x="10"/>
        <item m="1" x="12"/>
        <item m="1" x="19"/>
        <item m="1" x="11"/>
        <item h="1" m="1" x="15"/>
        <item h="1" m="1" x="14"/>
        <item h="1" m="1" x="9"/>
        <item h="1" m="1" x="16"/>
        <item h="1" m="1" x="13"/>
        <item h="1" x="2"/>
        <item h="1" x="3"/>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showAll="0"/>
    <pivotField showAll="0"/>
    <pivotField showAll="0"/>
  </pivotFields>
  <rowFields count="1">
    <field x="1"/>
  </rowFields>
  <rowItems count="3">
    <i>
      <x v="11"/>
    </i>
    <i>
      <x v="13"/>
    </i>
    <i t="grand">
      <x/>
    </i>
  </rowItems>
  <colFields count="1">
    <field x="-2"/>
  </colFields>
  <colItems count="2">
    <i>
      <x/>
    </i>
    <i i="1">
      <x v="1"/>
    </i>
  </colItems>
  <dataFields count="2">
    <dataField name="Sum of Gross ALE" fld="24" baseField="3" baseItem="0" numFmtId="166"/>
    <dataField name="Sum of Residual ALE" fld="27" baseField="3" baseItem="0"/>
  </dataFields>
  <formats count="2">
    <format dxfId="39">
      <pivotArea outline="0" collapsedLevelsAreSubtotals="1" fieldPosition="0"/>
    </format>
    <format dxfId="38">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0" applyNumberFormats="0" applyBorderFormats="0" applyFontFormats="1" applyPatternFormats="1" applyAlignmentFormats="0" applyWidthHeightFormats="0">
  <queryTableRefresh preserveSortFilterLayout="0" nextId="15">
    <queryTableFields count="14">
      <queryTableField id="1" name="Control Ref" tableColumnId="1"/>
      <queryTableField id="2" name="Risk ref" tableColumnId="2"/>
      <queryTableField id="3" name="Risk Title" tableColumnId="3"/>
      <queryTableField id="4" name="Risk Description" tableColumnId="4"/>
      <queryTableField id="5" name="Risk controls (mitigation)" tableColumnId="5"/>
      <queryTableField id="6" name="Control Owner_x000a_(by exception)" tableColumnId="6"/>
      <queryTableField id="7" name="Impact - 1 to 10" tableColumnId="7"/>
      <queryTableField id="8" name="Likelihood  - 1 to 10 _x000a_" tableColumnId="8"/>
      <queryTableField id="9" name="New RISK SCORE" tableColumnId="9"/>
      <queryTableField id="10" name="Current Status" tableColumnId="10"/>
      <queryTableField id="11" name="Closure Date / Deadline" tableColumnId="11"/>
      <queryTableField id="12" name="Closure Authority" tableColumnId="12"/>
      <queryTableField id="13" name="Comments" tableColumnId="13"/>
      <queryTableField id="14" name="Fixed Reference" tableColumnId="1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3DA05C-B53C-4128-AB24-E1E7FD022E1D}" name="RISK_table" displayName="RISK_table" ref="A7:AE67" totalsRowShown="0" headerRowDxfId="204" dataDxfId="203" headerRowCellStyle="Normal_Sheet1" dataCellStyle="Normal 3">
  <autoFilter ref="A7:AE67" xr:uid="{AD3DA05C-B53C-4128-AB24-E1E7FD022E1D}">
    <filterColumn colId="2">
      <filters>
        <filter val="Financial KR"/>
      </filters>
    </filterColumn>
  </autoFilter>
  <tableColumns count="31">
    <tableColumn id="2" xr3:uid="{CFA196D7-7624-41EB-A342-AEEE16778623}" name="Risk ref" dataDxfId="202" dataCellStyle="Normal_Sheet1"/>
    <tableColumn id="4" xr3:uid="{4045E9AE-115B-427B-A60E-2B7435A3671E}" name="Workstream" dataDxfId="201" dataCellStyle="Normal 3"/>
    <tableColumn id="5" xr3:uid="{B8CBC6F0-E215-4FC6-AA43-B89313E42C3E}" name="Linked KRI" dataDxfId="200" dataCellStyle="Normal 3"/>
    <tableColumn id="6" xr3:uid="{FE485650-99B7-44CE-BC0B-AF363E829678}" name="Date Added to Risk Register" dataDxfId="199" dataCellStyle="Normal 3"/>
    <tableColumn id="7" xr3:uid="{2AA57895-E6D2-48CE-BC44-036C1C721EE3}" name="Risk Description and Impact" dataDxfId="198" dataCellStyle="Normal 3"/>
    <tableColumn id="3" xr3:uid="{D782CFDE-1766-49CF-81F5-CFFB93CFF018}" name="RISK CAUSE &amp; EFFECT" dataDxfId="197" dataCellStyle="Normal 3"/>
    <tableColumn id="9" xr3:uid="{B33A134E-911B-4BF5-95D1-3E4098CE8853}" name="Category" dataDxfId="196" dataCellStyle="Normal 3"/>
    <tableColumn id="10" xr3:uid="{89230B98-AB35-45BE-88FF-9B2FE0C8F759}" name="Impact_x000a_1 to 5" dataDxfId="195" dataCellStyle="Normal 3"/>
    <tableColumn id="11" xr3:uid="{85B8C4A7-C03B-420E-8508-E290151AB2B4}" name="Likelihood_x000a_1 to 5" dataDxfId="194" dataCellStyle="Normal 3"/>
    <tableColumn id="12" xr3:uid="{0B08426A-55D7-47CD-8E82-E73B552FDE9A}" name="RISK SCORE" dataDxfId="193" dataCellStyle="Normal 3"/>
    <tableColumn id="13" xr3:uid="{EEC29C77-E688-4E09-A0F3-AC23A1A2EED7}" name="Risk response" dataDxfId="192" dataCellStyle="Normal 3"/>
    <tableColumn id="14" xr3:uid="{2E6C2BFB-965B-4B2C-9081-F1D7D85782BA}" name="Risk controls (mitigation)" dataDxfId="191" dataCellStyle="Normal 3"/>
    <tableColumn id="15" xr3:uid="{8728E1FA-6891-4A0D-8ABB-3BCC32C10074}" name="Control Owner_x000a_(by exception)" dataDxfId="190" dataCellStyle="Normal 3"/>
    <tableColumn id="16" xr3:uid="{A08A1724-8B3C-4984-A1F6-5459108E17CA}" name="Impact_x000a_1 to 52" dataDxfId="189" dataCellStyle="Normal 3"/>
    <tableColumn id="17" xr3:uid="{CE48400F-F896-40E9-AE7E-CC1641258CCB}" name="Likelihood_x000a_1 to 53" dataDxfId="188" dataCellStyle="Normal 3"/>
    <tableColumn id="18" xr3:uid="{57B7F094-7C1D-4E1F-98BE-7CDB49BE54EA}" name="New RISK SCORE" dataDxfId="187" dataCellStyle="Normal 3"/>
    <tableColumn id="19" xr3:uid="{4F68614B-129D-458C-9487-B060FF29FB93}" name="Risk Appetite" dataDxfId="186" dataCellStyle="Normal 3"/>
    <tableColumn id="20" xr3:uid="{7E1722AF-1BB7-494C-8667-07E04FCF98C5}" name="FURTHER ACTION REQUIRED" dataDxfId="185" dataCellStyle="Normal 3"/>
    <tableColumn id="21" xr3:uid="{977E51FF-9C4D-478F-AE7B-E3297E5F26D5}" name="Current Status" dataDxfId="184" dataCellStyle="Normal 3"/>
    <tableColumn id="23" xr3:uid="{3793933F-7B0C-4E9D-9FBB-6EA44A09157F}" name="Due Date" dataDxfId="183" dataCellStyle="Normal 3"/>
    <tableColumn id="24" xr3:uid="{2B89D05F-FB0B-4625-AE71-0309D54A906A}" name="ESCALATED TO PROGRAMME RISK REGISTER" dataDxfId="182" dataCellStyle="Normal 3"/>
    <tableColumn id="27" xr3:uid="{94C154D2-808E-4B32-B626-892F1EF95A50}" name="RISK OWNER" dataDxfId="181" dataCellStyle="Normal 3"/>
    <tableColumn id="28" xr3:uid="{BEFCB4A9-52A0-4574-8604-41387BF151C6}" name="Gross Impact (£)" dataDxfId="180" dataCellStyle="Normal 3"/>
    <tableColumn id="29" xr3:uid="{A4C84F28-CE3F-4B6B-B7BC-124F1E69830E}" name="Gross Likelihood (probability / frequency)" dataDxfId="179" dataCellStyle="Normal 3"/>
    <tableColumn id="30" xr3:uid="{5BC947C7-CAA5-42E4-965B-ADFD9D7DB55A}" name="Gross ALE" dataDxfId="178" dataCellStyle="Normal 3"/>
    <tableColumn id="31" xr3:uid="{7E502A05-02D6-4DED-9AF3-CBFC1F98D272}" name="Residual Impact (£)" dataDxfId="177" dataCellStyle="Normal 3"/>
    <tableColumn id="32" xr3:uid="{61558530-24B7-4CD1-85B0-FD7019D94B2B}" name="Residual Likelihood (probability / frequency)" dataDxfId="176" dataCellStyle="Normal 3"/>
    <tableColumn id="33" xr3:uid="{0DC62AC3-50C4-4CA9-A358-DFE5A06DD3E8}" name="Residual ALE" dataDxfId="175" dataCellStyle="Normal 3"/>
    <tableColumn id="34" xr3:uid="{11499024-139B-4223-A26E-1F08BF613E4B}" name="Risk Reduction" dataDxfId="174" dataCellStyle="Normal 3"/>
    <tableColumn id="35" xr3:uid="{162675E6-B805-41F6-81E6-46BEBDD17566}" name="Risk Reduction (%)" dataDxfId="173" dataCellStyle="Normal 3"/>
    <tableColumn id="1" xr3:uid="{17FD2B26-808D-4B9D-A78F-0B5A894E0A30}" name="Source_File" dataDxfId="172" dataCellStyle="Normal 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E2B2836-EEC7-47EB-81BC-FF8A0E87B587}" name="Issues_table" displayName="Issues_table" ref="A7:Q11" totalsRowShown="0" headerRowDxfId="171" dataDxfId="170" tableBorderDxfId="169" headerRowCellStyle="Normal 2" dataCellStyle="Normal 2">
  <autoFilter ref="A7:Q11" xr:uid="{3E2B2836-EEC7-47EB-81BC-FF8A0E87B587}">
    <filterColumn colId="15">
      <filters blank="1">
        <filter val="2. Escalated"/>
        <filter val="3. Implementing Fix"/>
      </filters>
    </filterColumn>
  </autoFilter>
  <tableColumns count="17">
    <tableColumn id="2" xr3:uid="{363975F0-D65E-4240-B67B-083B2AFC0A03}" name="Issue ref" dataDxfId="168" dataCellStyle="Normal 2"/>
    <tableColumn id="3" xr3:uid="{A41792B3-2A55-4BCD-BB6F-BFE49E7E1CEB}" name="Previous risk ref (if aplicable)" dataDxfId="167" dataCellStyle="Normal 2"/>
    <tableColumn id="4" xr3:uid="{FC337462-9D30-44DB-AFFE-B6C1A072A888}" name="Date Added to Issues Log" dataDxfId="166" dataCellStyle="Normal 2"/>
    <tableColumn id="6" xr3:uid="{0FBAD225-D526-4A51-90CF-6425D0A441AD}" name="Issue Description and impact" dataDxfId="165" dataCellStyle="Normal 3"/>
    <tableColumn id="7" xr3:uid="{1C7D8871-17F2-47DA-A0C8-21C6C088A784}" name="Impacted projects" dataDxfId="164" dataCellStyle="Normal 3"/>
    <tableColumn id="8" xr3:uid="{F7378256-AE99-4F7A-A609-78BDE9B00176}" name="Issue Owner" dataDxfId="163" dataCellStyle="Normal 2"/>
    <tableColumn id="9" xr3:uid="{6D6166BC-9680-4105-9662-C866408364DC}" name="Priority" dataDxfId="162" dataCellStyle="Normal 2"/>
    <tableColumn id="10" xr3:uid="{DFCC9C75-1BEF-43A1-ACEF-AAFD3CE4D463}" name="Severity" dataDxfId="161" dataCellStyle="Normal 2"/>
    <tableColumn id="11" xr3:uid="{B6AAAC54-A409-45AE-A86F-868A90654B39}" name="ISSUE SCORE" dataDxfId="160" dataCellStyle="Normal 2"/>
    <tableColumn id="1" xr3:uid="{E17736EC-8389-4C84-8687-A093B57FC39C}" name="Issue Response"/>
    <tableColumn id="12" xr3:uid="{CB7D1CEA-B788-457E-832C-CDDD8E32D9C9}" name="Issue controls (mitigation) and updates" dataDxfId="159" dataCellStyle="Normal 2"/>
    <tableColumn id="13" xr3:uid="{8C029EA3-7762-4977-85EF-476788EEBF58}" name="Control owner" dataDxfId="158" dataCellStyle="Normal 2"/>
    <tableColumn id="14" xr3:uid="{9EDD6DAE-BFE9-460B-9E52-D8987BBDE811}" name="Progress updates" dataDxfId="157" dataCellStyle="Normal 2"/>
    <tableColumn id="15" xr3:uid="{9112BC24-2CE5-4973-BB3F-E4581EA874B3}" name="Date Updated" dataDxfId="156" dataCellStyle="Normal 2"/>
    <tableColumn id="16" xr3:uid="{729C66A3-D082-4B58-825F-B6C32493C8EB}" name="Control Deadline" dataDxfId="155" dataCellStyle="Normal 2"/>
    <tableColumn id="17" xr3:uid="{0E9D4672-85C7-4324-9CFF-27113647EA77}" name="Status" dataDxfId="154" dataCellStyle="Normal 2"/>
    <tableColumn id="19" xr3:uid="{69164406-EAFB-4932-A6A3-C691467950D3}" name="To add to lessons learnt?" dataDxfId="153" dataCellStyle="Normal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qryData_Controls" displayName="qryData_Controls" ref="A10:N14" tableType="queryTable" totalsRowShown="0">
  <autoFilter ref="A10:N14" xr:uid="{00000000-0009-0000-0100-000002000000}"/>
  <tableColumns count="14">
    <tableColumn id="1" xr3:uid="{00000000-0010-0000-0000-000001000000}" uniqueName="1" name="Control Ref" queryTableFieldId="1" dataDxfId="152"/>
    <tableColumn id="2" xr3:uid="{00000000-0010-0000-0000-000002000000}" uniqueName="2" name="Risk ref" queryTableFieldId="2" dataDxfId="151"/>
    <tableColumn id="3" xr3:uid="{00000000-0010-0000-0000-000003000000}" uniqueName="3" name="Risk Title" queryTableFieldId="3" dataDxfId="150"/>
    <tableColumn id="4" xr3:uid="{00000000-0010-0000-0000-000004000000}" uniqueName="4" name="Risk Description" queryTableFieldId="4" dataDxfId="149"/>
    <tableColumn id="5" xr3:uid="{00000000-0010-0000-0000-000005000000}" uniqueName="5" name="Risk controls (mitigation)" queryTableFieldId="5" dataDxfId="148"/>
    <tableColumn id="6" xr3:uid="{00000000-0010-0000-0000-000006000000}" uniqueName="6" name="Control Owner_x000a_(by exception)" queryTableFieldId="6" dataDxfId="147"/>
    <tableColumn id="7" xr3:uid="{00000000-0010-0000-0000-000007000000}" uniqueName="7" name="Impact - 1 to 10" queryTableFieldId="7" dataDxfId="146"/>
    <tableColumn id="8" xr3:uid="{00000000-0010-0000-0000-000008000000}" uniqueName="8" name="Likelihood  - 1 to 10 _x000a_" queryTableFieldId="8" dataDxfId="145"/>
    <tableColumn id="9" xr3:uid="{00000000-0010-0000-0000-000009000000}" uniqueName="9" name="New RISK SCORE" queryTableFieldId="9" dataDxfId="144"/>
    <tableColumn id="10" xr3:uid="{00000000-0010-0000-0000-00000A000000}" uniqueName="10" name="Current Status" queryTableFieldId="10" dataDxfId="143"/>
    <tableColumn id="11" xr3:uid="{00000000-0010-0000-0000-00000B000000}" uniqueName="11" name="Closure Date / Deadline" queryTableFieldId="11" dataDxfId="142"/>
    <tableColumn id="12" xr3:uid="{00000000-0010-0000-0000-00000C000000}" uniqueName="12" name="Closure Authority" queryTableFieldId="12" dataDxfId="141"/>
    <tableColumn id="13" xr3:uid="{00000000-0010-0000-0000-00000D000000}" uniqueName="13" name="Comments" queryTableFieldId="13" dataDxfId="140"/>
    <tableColumn id="14" xr3:uid="{00000000-0010-0000-0000-00000E000000}" uniqueName="14" name="Fixed Reference" queryTableFieldId="14" dataDxfId="13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qryFilter" displayName="qryFilter" ref="B4:B5" totalsRowShown="0" headerRowDxfId="138" dataDxfId="137">
  <autoFilter ref="B4:B5" xr:uid="{00000000-0009-0000-0100-000003000000}"/>
  <tableColumns count="1">
    <tableColumn id="1" xr3:uid="{00000000-0010-0000-0100-000001000000}" name="Risk_Ref" dataDxfId="13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298795B-CAA8-4B40-AD7A-61649B1679F3}" name="KRI_monthly" displayName="KRI_monthly" ref="C2:M9" totalsRowShown="0" headerRowDxfId="135" dataDxfId="133" headerRowBorderDxfId="134" tableBorderDxfId="132">
  <autoFilter ref="C2:M9" xr:uid="{DF113F93-B08D-40BB-959B-9B9B7F739682}"/>
  <tableColumns count="11">
    <tableColumn id="3" xr3:uid="{23674D8D-48A6-47EC-A545-56A190150639}" name="KRI" dataDxfId="131"/>
    <tableColumn id="4" xr3:uid="{1B11F406-654D-4903-A82D-18297826EF49}" name="Owner" dataDxfId="130"/>
    <tableColumn id="21" xr3:uid="{B2CAC56C-50C3-41C9-8A40-28BBB0C1DB69}" name="Total Risks" dataDxfId="129"/>
    <tableColumn id="6" xr3:uid="{C9294C96-4CDF-4F70-9A42-4BF1153DC400}" name="High Risks" dataDxfId="128"/>
    <tableColumn id="7" xr3:uid="{E1A42303-989E-4C14-A767-F59EBF03B0EC}" name="Overdue" dataDxfId="127"/>
    <tableColumn id="8" xr3:uid="{12D1AD36-9449-4463-B6BD-5CA8D30C8A10}" name="% Overdue" dataDxfId="126"/>
    <tableColumn id="15" xr3:uid="{C42220CE-1C59-4207-B355-7C75D77789ED}" name="Average Risk Age (Days)" dataDxfId="125"/>
    <tableColumn id="19" xr3:uid="{233B5696-A9E7-47D0-86A6-2DDEEA009AAF}" name="% Projects" dataDxfId="124"/>
    <tableColumn id="10" xr3:uid="{27D0499C-5403-4FF1-AEA7-C11989EE1A9D}" name="Residual Exposure (£)" dataDxfId="123"/>
    <tableColumn id="20" xr3:uid="{4558E898-C1A4-4ACF-A4B4-8BA280FA75E6}" name="Risk Reduction (%)" dataDxfId="122"/>
    <tableColumn id="11" xr3:uid="{FC47C311-00FE-46CE-BAFD-681771B51367}" name="Status" dataDxfId="121"/>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DB372F-9DEB-4619-A6A9-CDE6641CD044}" name="KPI_monthly" displayName="KPI_monthly" ref="B3:P16" totalsRowShown="0" headerRowDxfId="120" dataDxfId="118" headerRowBorderDxfId="119" tableBorderDxfId="117" totalsRowBorderDxfId="116">
  <autoFilter ref="B3:P16" xr:uid="{DCDB372F-9DEB-4619-A6A9-CDE6641CD044}"/>
  <tableColumns count="15">
    <tableColumn id="1" xr3:uid="{B803472C-D5EF-4D4A-8460-1BF5F4279CDA}" name="Objectives" dataDxfId="115"/>
    <tableColumn id="2" xr3:uid="{59223213-3894-4211-8498-2485ECD5AD44}" name="KPI Name" dataDxfId="114"/>
    <tableColumn id="3" xr3:uid="{DD8F2F1D-E75A-436B-AB88-84B7CC46AB8D}" name="KPI Formula" dataDxfId="113">
      <calculatedColumnFormula>IFERROR(_xlfn.XLOOKUP(KPI_monthly[[#This Row],[KPI Name]],[2]!KPI_table[KPI],[2]!KPI_table[KPI Formula]), "")</calculatedColumnFormula>
    </tableColumn>
    <tableColumn id="15" xr3:uid="{EB642A38-39A0-4384-8A02-D0A3141E106D}" name="Notes" dataDxfId="112">
      <calculatedColumnFormula>IF(KPI_monthly[[#This Row],[KPI Name]]&lt;&gt;"",IF(_xlfn.XLOOKUP(KPI_monthly[[#This Row],[KPI Name]],[2]!KPI_table[KPI],[2]!KPI_table[Notes])&lt;&gt;0, _xlfn.XLOOKUP(KPI_monthly[[#This Row],[KPI Name]],[2]!KPI_table[KPI],[2]!KPI_table[Notes]),""),"")</calculatedColumnFormula>
    </tableColumn>
    <tableColumn id="8" xr3:uid="{14794EB1-2BA8-44E4-BD5A-80B3F5CA4135}" name="Sample Inputs" dataDxfId="111">
      <calculatedColumnFormula>IF(KPI_monthly[[#This Row],[KPI Name]]&lt;&gt;"",IF(_xlfn.XLOOKUP(KPI_monthly[[#This Row],[KPI Name]],[2]!KPI_table[KPI],[2]!KPI_table[🟢 Sample Input Data])&lt;&gt;0, _xlfn.XLOOKUP(KPI_monthly[[#This Row],[KPI Name]],[2]!KPI_table[KPI],[2]!KPI_table[🟢 Sample Input Data]),""),"")</calculatedColumnFormula>
    </tableColumn>
    <tableColumn id="4" xr3:uid="{7ADEAA17-2888-469E-BE14-8FFEDFE13A27}" name="Input A" dataDxfId="110"/>
    <tableColumn id="5" xr3:uid="{64B90AC5-6AE0-481B-AB14-88055CD96E8E}" name="Input B" dataDxfId="109"/>
    <tableColumn id="6" xr3:uid="{53BE261E-8755-41F5-B78C-26F7EC85F8A4}" name="Input C" dataDxfId="108"/>
    <tableColumn id="7" xr3:uid="{0FF83C3B-11F2-4CCE-86D6-C44E5B9B9B72}" name="Input D" dataDxfId="107"/>
    <tableColumn id="14" xr3:uid="{34263EB8-1AE6-4EAF-93A1-159563FEA7A4}" name="Unit" dataDxfId="106">
      <calculatedColumnFormula>IF(KPI_monthly[[#This Row],[KPI Name]]&lt;&gt;"", IF(_xlfn.XLOOKUP(KPI_monthly[[#This Row],[KPI Name]],[2]!KPI_table[KPI],[2]!KPI_table[Unit])&lt;&gt;"",_xlfn.XLOOKUP(KPI_monthly[[#This Row],[KPI Name]],[2]!KPI_table[KPI],[2]!KPI_table[Unit]),""),"")</calculatedColumnFormula>
    </tableColumn>
    <tableColumn id="9" xr3:uid="{A866F9BD-211D-44F4-BF38-C42806ADDEAA}" name="Current Value" dataDxfId="105"/>
    <tableColumn id="17" xr3:uid="{A8D2D721-85F8-4088-99D0-ECF242E18111}" name="Green Threshold" dataDxfId="104">
      <calculatedColumnFormula>IF(KPI_monthly[[#This Row],[KPI Name]]&lt;&gt;"",IF(_xlfn.XLOOKUP(KPI_monthly[[#This Row],[KPI Name]],[2]!KPI_table[KPI],[2]!KPI_table[Green])&lt;&gt;0, _xlfn.XLOOKUP(KPI_monthly[[#This Row],[KPI Name]],[2]!KPI_table[KPI],[2]!KPI_table[Green]),""),"")</calculatedColumnFormula>
    </tableColumn>
    <tableColumn id="16" xr3:uid="{3B7DBB0C-F37E-4F8F-8ACA-FD9A48C37C89}" name="Amber Threshold" dataDxfId="103">
      <calculatedColumnFormula>IF(KPI_monthly[[#This Row],[KPI Name]]&lt;&gt;"",IF(_xlfn.XLOOKUP(KPI_monthly[[#This Row],[KPI Name]],[2]!KPI_table[KPI],[2]!KPI_table[Amber])&lt;&gt;0, _xlfn.XLOOKUP(KPI_monthly[[#This Row],[KPI Name]],[2]!KPI_table[KPI],[2]!KPI_table[Amber]),""),"")</calculatedColumnFormula>
    </tableColumn>
    <tableColumn id="12" xr3:uid="{0D050AE5-D63F-4125-8E66-7325220C12A8}" name="Red Threshold" dataDxfId="102">
      <calculatedColumnFormula>IF(KPI_monthly[[#This Row],[KPI Name]]&lt;&gt;"",IF(_xlfn.XLOOKUP(KPI_monthly[[#This Row],[KPI Name]],[2]!KPI_table[KPI],[2]!KPI_table[Red])&lt;&gt;0, _xlfn.XLOOKUP(KPI_monthly[[#This Row],[KPI Name]],[2]!KPI_table[KPI],[2]!KPI_table[Red]),""),"")</calculatedColumnFormula>
    </tableColumn>
    <tableColumn id="13" xr3:uid="{670ED01C-D4F9-42E7-BE8A-2281348B2E6D}" name="Status" dataDxfId="10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B29CEE0-8C84-4DC8-B5DC-14856DB05272}" name="KPI_KRI_table" displayName="KPI_KRI_table" ref="A1:I20" totalsRowShown="0" headerRowDxfId="100" dataDxfId="98" headerRowBorderDxfId="99" tableBorderDxfId="97" totalsRowBorderDxfId="96">
  <autoFilter ref="A1:I20" xr:uid="{2B29CEE0-8C84-4DC8-B5DC-14856DB05272}"/>
  <sortState xmlns:xlrd2="http://schemas.microsoft.com/office/spreadsheetml/2017/richdata2" ref="A2:I20">
    <sortCondition ref="I1:I20"/>
  </sortState>
  <tableColumns count="9">
    <tableColumn id="1" xr3:uid="{E3772DBD-3AD5-4916-ADE6-BBF80B4F03DC}" name="KPI Name" dataDxfId="95"/>
    <tableColumn id="2" xr3:uid="{ACD24F30-6D68-4DB2-8BBE-2C90C7316ED1}" name="Related KRI" dataDxfId="94"/>
    <tableColumn id="3" xr3:uid="{4D74592A-F036-4CDE-8EE3-AB036C5E0860}" name="KRI Current Value" dataDxfId="93"/>
    <tableColumn id="4" xr3:uid="{519E6AE5-6E38-4848-8CD0-C4FF6B4A4B23}" name="KPI Current Value" dataDxfId="92"/>
    <tableColumn id="5" xr3:uid="{A765BE82-C79F-485A-BEE4-A742FDADABC9}" name="Impact Assessment" dataDxfId="91"/>
    <tableColumn id="6" xr3:uid="{6DC60CB2-A468-42E1-BF6B-21804EB53F09}" name="What KRI Breach Means for KPI" dataDxfId="90"/>
    <tableColumn id="7" xr3:uid="{F8E8E3CB-890B-4F5B-A9E5-CE99E189377F}" name="KPI Predicted Performance" dataDxfId="89"/>
    <tableColumn id="8" xr3:uid="{06B87FA5-DCA8-4393-A56D-5D47B3B0AF59}" name="Conclusion" dataDxfId="88"/>
    <tableColumn id="10" xr3:uid="{3A15EE5F-35EE-4065-B4C5-783679CF4D2C}" name="Objectives" dataDxfId="8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16843E1-AB18-42F3-AE06-7D22AD0206CF}" name="KPI_table" displayName="KPI_table" ref="R5:AG45" totalsRowShown="0" headerRowDxfId="86" dataDxfId="84" headerRowBorderDxfId="85" tableBorderDxfId="83">
  <autoFilter ref="R5:AG45" xr:uid="{616843E1-AB18-42F3-AE06-7D22AD0206CF}"/>
  <tableColumns count="16">
    <tableColumn id="1" xr3:uid="{B9EBC8AB-D958-41E1-93A2-F1BA2743045B}" name="Objectives" dataDxfId="82"/>
    <tableColumn id="2" xr3:uid="{AF5B6AE0-B6EA-4675-81EF-8A4FC8E91C2D}" name=" " dataDxfId="81"/>
    <tableColumn id="3" xr3:uid="{DBA052D1-1F05-4D1A-A1AA-B56F4B6BE318}" name="KPI" dataDxfId="80"/>
    <tableColumn id="4" xr3:uid="{B81C1D0E-AB02-482E-9F8B-B11BF57B885C}" name="Label" dataDxfId="79"/>
    <tableColumn id="5" xr3:uid="{0B60DC1E-C11E-4C1F-8FFB-6CAB5DB3106F}" name="KPI Formula" dataDxfId="78"/>
    <tableColumn id="6" xr3:uid="{D6D81492-8154-483B-90E9-6AEA5D43FD5F}" name="Notes" dataDxfId="77"/>
    <tableColumn id="7" xr3:uid="{89D39455-C495-47D0-B2F9-6DA71832C046}" name="Unit" dataDxfId="76"/>
    <tableColumn id="8" xr3:uid="{AF0792DD-4E43-453E-A356-7DDA96D985FE}" name="Green" dataDxfId="75"/>
    <tableColumn id="9" xr3:uid="{D1ACBF80-B059-4A3F-9A6C-FB0AE576D114}" name="Amber" dataDxfId="74"/>
    <tableColumn id="10" xr3:uid="{ADA9DF2B-4763-4F63-843C-1962AE2B7613}" name="Red" dataDxfId="73"/>
    <tableColumn id="11" xr3:uid="{6205C8EB-31A0-4D1E-9E91-B346B5943C9A}" name="Related KRI" dataDxfId="72"/>
    <tableColumn id="16" xr3:uid="{0BAF4ECE-60D3-452A-8592-B9DF92807085}" name="Related KRI Description" dataDxfId="71"/>
    <tableColumn id="12" xr3:uid="{37E2748F-49D5-43E7-A160-3C30E50CD9EC}" name="🔵 Review Frequency" dataDxfId="70"/>
    <tableColumn id="13" xr3:uid="{BCE2DE49-EEDB-42A1-864A-441A74FD8475}" name="🔵 Business Justification" dataDxfId="69"/>
    <tableColumn id="14" xr3:uid="{2255D8D9-53F2-4E75-AF35-60528D402EB9}" name="🟢 Sample Input Data" dataDxfId="68"/>
    <tableColumn id="15" xr3:uid="{6B454E08-E371-4CED-8830-0CC69D3E1A03}" name="🟢 Sample Result" dataDxfId="6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CB16C8-C2A1-490B-BECE-0707D79F5A72}" name="KRI_table" displayName="KRI_table" ref="A5:P16" totalsRowShown="0" headerRowDxfId="66" headerRowBorderDxfId="65" tableBorderDxfId="64">
  <autoFilter ref="A5:P16" xr:uid="{1DCB16C8-C2A1-490B-BECE-0707D79F5A72}"/>
  <sortState xmlns:xlrd2="http://schemas.microsoft.com/office/spreadsheetml/2017/richdata2" ref="A6:N16">
    <sortCondition ref="A5:A16"/>
  </sortState>
  <tableColumns count="16">
    <tableColumn id="1" xr3:uid="{7A0E68D6-594B-4E05-8BD2-16F878267122}" name="Workstream" dataDxfId="63"/>
    <tableColumn id="2" xr3:uid="{3207C58A-940C-4C08-AED1-A825D9071B7A}" name="KRI Code" dataDxfId="62"/>
    <tableColumn id="3" xr3:uid="{BD708520-13D2-4ACA-AD9E-174706807074}" name="KRI" dataDxfId="61"/>
    <tableColumn id="14" xr3:uid="{F1479092-9796-41C3-B4DA-17DFC288F05C}" name="Tier" dataDxfId="60"/>
    <tableColumn id="4" xr3:uid="{0BC5D41D-968B-4A7F-AEC9-531E3ECE9B81}" name="Label" dataDxfId="59"/>
    <tableColumn id="5" xr3:uid="{0D79219D-41F3-4537-92DA-447A46AF63C1}" name="KRI Formula" dataDxfId="58"/>
    <tableColumn id="6" xr3:uid="{E0FF4B0C-EE9B-4A18-8342-B41B4FF6636C}" name="Unit" dataDxfId="57"/>
    <tableColumn id="7" xr3:uid="{12AAF5D7-B668-499F-9D7A-557D4A84F680}" name="Green" dataDxfId="56"/>
    <tableColumn id="8" xr3:uid="{DEE9E55E-F494-4601-96FB-C05D9C6FBF4E}" name="Amber" dataDxfId="55"/>
    <tableColumn id="9" xr3:uid="{AE94BC8F-05D4-42A2-AF72-7AA5B8899BE8}" name="Red" dataDxfId="54"/>
    <tableColumn id="10" xr3:uid="{82E2C7BC-6013-4D45-9336-9D9A6755FD7B}" name="🔵 Escalation Trigger" dataDxfId="53"/>
    <tableColumn id="11" xr3:uid="{BC6785F9-1B79-4595-81E6-A007FC5B5DDD}" name="Sample Input Data" dataDxfId="52"/>
    <tableColumn id="12" xr3:uid="{DBA4D146-F0F2-4577-94E2-7F0D77037D2B}" name="🟢 Sample Result" dataDxfId="51"/>
    <tableColumn id="13" xr3:uid="{9F4AB9A6-D53A-4592-8D5B-C8E46CD9065B}" name="🟢Notes" dataDxfId="50"/>
    <tableColumn id="15" xr3:uid="{21643B08-466B-4E59-9C09-1FC6A8F8AFA4}" name="Review Frequency" dataDxfId="49"/>
    <tableColumn id="16" xr3:uid="{7C201FEC-C8E9-4166-A26E-C0E30DB9013C}" name="Business Justification" dataDxfId="4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B87A088-3177-4D8B-9D04-0F0D371F9D97}" name="KRI_Definitions" displayName="KRI_Definitions" ref="A1:C8" totalsRowShown="0" headerRowDxfId="47" headerRowBorderDxfId="46" tableBorderDxfId="45">
  <autoFilter ref="A1:C8" xr:uid="{DB87A088-3177-4D8B-9D04-0F0D371F9D97}"/>
  <tableColumns count="3">
    <tableColumn id="1" xr3:uid="{2365157E-DC6D-44BF-A6DB-7CAA13CD64E8}" name="KRI" dataDxfId="44" dataCellStyle="Normal 2"/>
    <tableColumn id="2" xr3:uid="{EDD56EFD-E9D6-497D-AFA9-61592D100E6C}" name="Key Components" dataDxfId="43" dataCellStyle="Normal 2"/>
    <tableColumn id="3" xr3:uid="{AA666FB8-65BF-4A2C-B4D8-8ED382A312FE}" name="Control Owner" dataDxfId="42" dataCellStyle="Normal 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758066-CDE8-42DC-A9B0-AD8E6027C5CE}" name="KRI_Rules" displayName="KRI_Rules" ref="G1:I8" totalsRowShown="0" headerRowDxfId="41">
  <autoFilter ref="G1:I8" xr:uid="{FC758066-CDE8-42DC-A9B0-AD8E6027C5CE}"/>
  <tableColumns count="3">
    <tableColumn id="1" xr3:uid="{D166E7FD-FF06-4D73-A2E6-8B40A0D6D05C}" name="Metric"/>
    <tableColumn id="2" xr3:uid="{EAADD79F-3564-40EF-BE9B-3083F5B945BC}" name="Green"/>
    <tableColumn id="3" xr3:uid="{4DBE2359-0529-4ECC-BEFD-F5F3D1F5060B}" name="Amber" dataDxfId="4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Q7" dT="2025-08-19T10:19:28.19" personId="{2958DD44-267E-4FF0-A506-F4280539F685}" id="{BBEFDF8B-30A7-4319-9214-D9D2C3D4D9AA}">
    <text>How much risk we are willing to accept</text>
  </threadedComment>
  <threadedComment ref="W7" dT="2025-08-19T10:26:43.86" personId="{2958DD44-267E-4FF0-A506-F4280539F685}" id="{865B3E83-BD22-40BF-84E3-113A3CB31B96}">
    <text>Where the figure can be deemed to be subjective then use the guide figure provided. Where we know an actual monetary value, use that.
For projects use % of scheme budget.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65423-1472-4191-801A-5DD8B7AF3AD3}">
  <sheetPr codeName="Sheet3">
    <tabColor theme="5" tint="0.39997558519241921"/>
    <pageSetUpPr fitToPage="1"/>
  </sheetPr>
  <dimension ref="A2:BH67"/>
  <sheetViews>
    <sheetView zoomScale="71" zoomScaleNormal="80" workbookViewId="0">
      <pane xSplit="5" ySplit="7" topLeftCell="F8" activePane="bottomRight" state="frozen"/>
      <selection pane="topRight" activeCell="F1" sqref="F1"/>
      <selection pane="bottomLeft" activeCell="A9" sqref="A9"/>
      <selection pane="bottomRight" activeCell="D75" sqref="D75"/>
    </sheetView>
  </sheetViews>
  <sheetFormatPr defaultColWidth="9.33203125" defaultRowHeight="14.25" customHeight="1"/>
  <cols>
    <col min="1" max="1" width="14.21875" style="315" bestFit="1" customWidth="1"/>
    <col min="2" max="2" width="18.6640625" style="315" bestFit="1" customWidth="1"/>
    <col min="3" max="3" width="35.44140625" style="315" bestFit="1" customWidth="1"/>
    <col min="4" max="4" width="26" style="318" bestFit="1" customWidth="1"/>
    <col min="5" max="5" width="49.77734375" style="318" bestFit="1" customWidth="1"/>
    <col min="6" max="6" width="255.5546875" style="315" bestFit="1" customWidth="1"/>
    <col min="7" max="7" width="21.77734375" style="315" bestFit="1" customWidth="1"/>
    <col min="8" max="8" width="13.44140625" style="315" bestFit="1" customWidth="1"/>
    <col min="9" max="9" width="16.77734375" style="315" bestFit="1" customWidth="1"/>
    <col min="10" max="10" width="19.109375" style="315" bestFit="1" customWidth="1"/>
    <col min="11" max="11" width="20.77734375" style="318" bestFit="1" customWidth="1"/>
    <col min="12" max="12" width="144.77734375" style="318" bestFit="1" customWidth="1"/>
    <col min="13" max="13" width="20.5546875" style="319" bestFit="1" customWidth="1"/>
    <col min="14" max="14" width="13.44140625" style="315" bestFit="1" customWidth="1"/>
    <col min="15" max="15" width="16.77734375" style="315" bestFit="1" customWidth="1"/>
    <col min="16" max="16" width="16.5546875" style="315" bestFit="1" customWidth="1"/>
    <col min="17" max="17" width="19.6640625" style="318" bestFit="1" customWidth="1"/>
    <col min="18" max="18" width="255.5546875" style="318" bestFit="1" customWidth="1"/>
    <col min="19" max="19" width="20.88671875" style="318" bestFit="1" customWidth="1"/>
    <col min="20" max="20" width="15.6640625" style="318" bestFit="1" customWidth="1"/>
    <col min="21" max="21" width="26" style="318" bestFit="1" customWidth="1"/>
    <col min="22" max="22" width="56.88671875" style="318" bestFit="1" customWidth="1"/>
    <col min="23" max="23" width="22.77734375" style="315" bestFit="1" customWidth="1"/>
    <col min="24" max="24" width="36.21875" style="315" bestFit="1" customWidth="1"/>
    <col min="25" max="25" width="17.21875" style="320" bestFit="1" customWidth="1"/>
    <col min="26" max="26" width="25.33203125" style="315" bestFit="1" customWidth="1"/>
    <col min="27" max="27" width="49.21875" style="315" bestFit="1" customWidth="1"/>
    <col min="28" max="28" width="19.77734375" style="315" bestFit="1" customWidth="1"/>
    <col min="29" max="29" width="21.44140625" style="315" bestFit="1" customWidth="1"/>
    <col min="30" max="30" width="25.109375" style="315" bestFit="1" customWidth="1"/>
    <col min="31" max="31" width="18.21875" style="315" bestFit="1" customWidth="1"/>
    <col min="32" max="32" width="24.88671875" style="315" bestFit="1" customWidth="1"/>
    <col min="33" max="33" width="28.44140625" style="315" bestFit="1" customWidth="1"/>
    <col min="34" max="16384" width="9.33203125" style="315"/>
  </cols>
  <sheetData>
    <row r="2" spans="1:60" ht="25.35" customHeight="1">
      <c r="A2" s="786" t="s">
        <v>0</v>
      </c>
      <c r="B2" s="787"/>
      <c r="C2" s="787"/>
      <c r="D2" s="787"/>
      <c r="E2"/>
      <c r="F2"/>
      <c r="G2"/>
      <c r="H2"/>
      <c r="I2"/>
      <c r="J2"/>
      <c r="K2"/>
      <c r="L2"/>
      <c r="M2"/>
      <c r="N2"/>
      <c r="O2"/>
      <c r="P2"/>
      <c r="Q2"/>
      <c r="R2"/>
      <c r="S2"/>
      <c r="T2"/>
      <c r="U2"/>
      <c r="V2"/>
      <c r="W2"/>
      <c r="X2"/>
      <c r="Y2"/>
      <c r="Z2"/>
      <c r="AA2"/>
      <c r="AB2"/>
      <c r="AC2"/>
      <c r="AD2"/>
      <c r="AE2"/>
      <c r="AF2"/>
      <c r="AG2"/>
      <c r="AH2"/>
      <c r="AI2"/>
      <c r="AJ2"/>
    </row>
    <row r="3" spans="1:60" ht="52.5" customHeight="1">
      <c r="A3" s="786" t="s">
        <v>1</v>
      </c>
      <c r="B3" s="787"/>
      <c r="C3" s="787"/>
      <c r="D3" s="787"/>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row>
    <row r="4" spans="1:60" ht="25.35" customHeight="1">
      <c r="A4" s="786" t="s">
        <v>2</v>
      </c>
      <c r="B4" s="787"/>
      <c r="C4" s="787"/>
      <c r="D4" s="787"/>
      <c r="E4"/>
      <c r="F4"/>
      <c r="G4"/>
      <c r="Z4" s="666" t="s">
        <v>2172</v>
      </c>
      <c r="AA4" s="666" t="s">
        <v>1279</v>
      </c>
      <c r="AE4"/>
      <c r="AF4"/>
      <c r="AG4"/>
      <c r="AH4"/>
      <c r="AI4"/>
      <c r="AJ4"/>
      <c r="AK4"/>
      <c r="AL4"/>
      <c r="AM4"/>
      <c r="AN4"/>
      <c r="AO4"/>
      <c r="AP4"/>
      <c r="AQ4"/>
      <c r="AR4"/>
      <c r="AS4"/>
      <c r="AT4"/>
      <c r="AU4"/>
      <c r="AV4"/>
      <c r="AW4"/>
      <c r="AX4"/>
      <c r="AY4"/>
      <c r="AZ4"/>
      <c r="BA4"/>
      <c r="BB4"/>
      <c r="BC4"/>
      <c r="BD4"/>
      <c r="BE4"/>
      <c r="BF4"/>
      <c r="BG4"/>
      <c r="BH4"/>
    </row>
    <row r="5" spans="1:60" ht="25.35" customHeight="1">
      <c r="A5" s="788" t="s">
        <v>2014</v>
      </c>
      <c r="B5" s="789"/>
      <c r="C5" s="789"/>
      <c r="D5" s="789"/>
      <c r="E5"/>
      <c r="F5"/>
      <c r="G5"/>
      <c r="H5" s="321"/>
      <c r="I5" s="321"/>
      <c r="J5" s="321"/>
      <c r="K5" s="321"/>
      <c r="L5" s="321"/>
      <c r="M5" s="322"/>
      <c r="N5" s="321"/>
      <c r="O5" s="321"/>
      <c r="P5" s="321"/>
      <c r="Q5" s="599"/>
      <c r="R5" s="49"/>
      <c r="S5" s="49"/>
      <c r="T5" s="321"/>
      <c r="U5" s="321"/>
      <c r="V5" s="321"/>
      <c r="W5" s="309"/>
      <c r="X5" s="309"/>
    </row>
    <row r="6" spans="1:60" s="328" customFormat="1" ht="61.35" customHeight="1">
      <c r="A6" s="323" t="s">
        <v>1280</v>
      </c>
      <c r="B6" s="48"/>
      <c r="C6" s="48" t="s">
        <v>1281</v>
      </c>
      <c r="D6" s="48" t="s">
        <v>1282</v>
      </c>
      <c r="E6" s="48" t="s">
        <v>1283</v>
      </c>
      <c r="F6" s="328" t="s">
        <v>2043</v>
      </c>
      <c r="G6" s="48"/>
      <c r="H6" s="48"/>
      <c r="I6" s="48" t="s">
        <v>1284</v>
      </c>
      <c r="J6" s="48" t="s">
        <v>1285</v>
      </c>
      <c r="K6" s="48" t="s">
        <v>1286</v>
      </c>
      <c r="L6" s="48" t="s">
        <v>1287</v>
      </c>
      <c r="M6" s="323" t="s">
        <v>1288</v>
      </c>
      <c r="N6" s="48" t="s">
        <v>1289</v>
      </c>
      <c r="O6" s="48"/>
      <c r="P6" s="48" t="s">
        <v>3</v>
      </c>
      <c r="Q6" s="48" t="s">
        <v>4</v>
      </c>
      <c r="R6" s="48" t="s">
        <v>5</v>
      </c>
      <c r="S6" s="48" t="s">
        <v>1290</v>
      </c>
      <c r="T6" s="323" t="s">
        <v>6</v>
      </c>
      <c r="U6" s="323"/>
      <c r="V6" s="323"/>
      <c r="W6" s="323" t="s">
        <v>1291</v>
      </c>
      <c r="X6" s="323" t="s">
        <v>7</v>
      </c>
      <c r="Y6" s="323" t="s">
        <v>1292</v>
      </c>
      <c r="Z6" s="326"/>
      <c r="AA6" s="327"/>
      <c r="AB6" s="327"/>
      <c r="AC6" s="327" t="s">
        <v>1293</v>
      </c>
      <c r="AD6" s="327"/>
    </row>
    <row r="7" spans="1:60" ht="41.4">
      <c r="A7" s="324" t="s">
        <v>8</v>
      </c>
      <c r="B7" s="585" t="s">
        <v>10</v>
      </c>
      <c r="C7" s="585" t="s">
        <v>1113</v>
      </c>
      <c r="D7" s="585" t="s">
        <v>1267</v>
      </c>
      <c r="E7" s="586" t="s">
        <v>12</v>
      </c>
      <c r="F7" s="586" t="s">
        <v>2043</v>
      </c>
      <c r="G7" s="588" t="s">
        <v>14</v>
      </c>
      <c r="H7" s="587" t="s">
        <v>1268</v>
      </c>
      <c r="I7" s="587" t="s">
        <v>1269</v>
      </c>
      <c r="J7" s="587" t="s">
        <v>15</v>
      </c>
      <c r="K7" s="587" t="s">
        <v>1270</v>
      </c>
      <c r="L7" s="589" t="s">
        <v>16</v>
      </c>
      <c r="M7" s="590" t="s">
        <v>17</v>
      </c>
      <c r="N7" s="590" t="s">
        <v>1111</v>
      </c>
      <c r="O7" s="590" t="s">
        <v>1112</v>
      </c>
      <c r="P7" s="590" t="s">
        <v>18</v>
      </c>
      <c r="Q7" s="590" t="s">
        <v>341</v>
      </c>
      <c r="R7" s="590" t="s">
        <v>2045</v>
      </c>
      <c r="S7" s="590" t="s">
        <v>19</v>
      </c>
      <c r="T7" s="590" t="s">
        <v>2047</v>
      </c>
      <c r="U7" s="590" t="s">
        <v>2044</v>
      </c>
      <c r="V7" s="325" t="s">
        <v>2046</v>
      </c>
      <c r="W7" s="590" t="s">
        <v>1272</v>
      </c>
      <c r="X7" s="590" t="s">
        <v>1273</v>
      </c>
      <c r="Y7" s="590" t="s">
        <v>1274</v>
      </c>
      <c r="Z7" s="590" t="s">
        <v>1275</v>
      </c>
      <c r="AA7" s="590" t="s">
        <v>1276</v>
      </c>
      <c r="AB7" s="590" t="s">
        <v>1277</v>
      </c>
      <c r="AC7" s="590" t="s">
        <v>1278</v>
      </c>
      <c r="AD7" s="590" t="s">
        <v>1279</v>
      </c>
      <c r="AE7" s="607" t="s">
        <v>2139</v>
      </c>
    </row>
    <row r="8" spans="1:60" ht="262.2">
      <c r="A8" s="621" t="s">
        <v>2048</v>
      </c>
      <c r="B8" s="622" t="s">
        <v>33</v>
      </c>
      <c r="C8" s="622" t="s">
        <v>2154</v>
      </c>
      <c r="D8" s="625">
        <v>46081</v>
      </c>
      <c r="E8" s="623" t="s">
        <v>2049</v>
      </c>
      <c r="F8" s="601" t="s">
        <v>2050</v>
      </c>
      <c r="G8" s="622" t="s">
        <v>2051</v>
      </c>
      <c r="H8" s="624">
        <v>5</v>
      </c>
      <c r="I8" s="624">
        <v>4</v>
      </c>
      <c r="J8" s="602" t="s">
        <v>58</v>
      </c>
      <c r="K8" s="602"/>
      <c r="L8" s="603" t="s">
        <v>2052</v>
      </c>
      <c r="M8" s="622"/>
      <c r="N8" s="602">
        <v>5</v>
      </c>
      <c r="O8" s="602">
        <v>3</v>
      </c>
      <c r="P8" s="602" t="s">
        <v>58</v>
      </c>
      <c r="Q8" s="602" t="s">
        <v>58</v>
      </c>
      <c r="R8" s="602" t="s">
        <v>2053</v>
      </c>
      <c r="S8" s="602"/>
      <c r="T8" s="625">
        <v>46079</v>
      </c>
      <c r="U8" s="626"/>
      <c r="V8" s="627" t="s">
        <v>29</v>
      </c>
      <c r="W8" s="628">
        <v>100000</v>
      </c>
      <c r="X8" s="629">
        <v>0.8</v>
      </c>
      <c r="Y8" s="628">
        <v>80000</v>
      </c>
      <c r="Z8" s="628">
        <v>50000</v>
      </c>
      <c r="AA8" s="629">
        <v>0.6</v>
      </c>
      <c r="AB8" s="628">
        <v>30000</v>
      </c>
      <c r="AC8" s="628">
        <v>50000</v>
      </c>
      <c r="AD8" s="630">
        <v>0.625</v>
      </c>
      <c r="AE8" s="628" t="e">
        <v>#N/A</v>
      </c>
    </row>
    <row r="9" spans="1:60" ht="248.4" hidden="1">
      <c r="A9" s="611" t="s">
        <v>2054</v>
      </c>
      <c r="B9" s="612" t="s">
        <v>56</v>
      </c>
      <c r="C9" s="612" t="s">
        <v>2055</v>
      </c>
      <c r="D9" s="612"/>
      <c r="E9" s="613" t="s">
        <v>2056</v>
      </c>
      <c r="F9" s="330" t="s">
        <v>2057</v>
      </c>
      <c r="G9" s="612" t="s">
        <v>2058</v>
      </c>
      <c r="H9" s="614">
        <v>4</v>
      </c>
      <c r="I9" s="614">
        <v>3</v>
      </c>
      <c r="J9" s="329" t="s">
        <v>59</v>
      </c>
      <c r="K9" s="329"/>
      <c r="L9" s="316" t="s">
        <v>2059</v>
      </c>
      <c r="M9" s="612"/>
      <c r="N9" s="329">
        <v>4</v>
      </c>
      <c r="O9" s="329">
        <v>2</v>
      </c>
      <c r="P9" s="329" t="s">
        <v>59</v>
      </c>
      <c r="Q9" s="329" t="s">
        <v>58</v>
      </c>
      <c r="R9" s="329" t="s">
        <v>2060</v>
      </c>
      <c r="S9" s="329"/>
      <c r="T9" s="615"/>
      <c r="U9" s="616"/>
      <c r="V9" s="617" t="s">
        <v>2061</v>
      </c>
      <c r="W9" s="618">
        <v>50001</v>
      </c>
      <c r="X9" s="619">
        <v>0.6</v>
      </c>
      <c r="Y9" s="618">
        <v>30000.6</v>
      </c>
      <c r="Z9" s="618">
        <v>50001</v>
      </c>
      <c r="AA9" s="619">
        <v>0.4</v>
      </c>
      <c r="AB9" s="618">
        <v>20000.400000000001</v>
      </c>
      <c r="AC9" s="618">
        <v>10000.199999999997</v>
      </c>
      <c r="AD9" s="620">
        <v>0.33333333333333326</v>
      </c>
      <c r="AE9" s="618" t="e">
        <v>#N/A</v>
      </c>
    </row>
    <row r="10" spans="1:60" ht="220.8" hidden="1">
      <c r="A10" s="611" t="s">
        <v>1265</v>
      </c>
      <c r="B10" s="612" t="s">
        <v>2062</v>
      </c>
      <c r="C10" s="612" t="s">
        <v>2055</v>
      </c>
      <c r="D10" s="612"/>
      <c r="E10" s="613" t="s">
        <v>2063</v>
      </c>
      <c r="F10" s="330" t="s">
        <v>2064</v>
      </c>
      <c r="G10" s="612" t="s">
        <v>2065</v>
      </c>
      <c r="H10" s="614">
        <v>4</v>
      </c>
      <c r="I10" s="614">
        <v>3</v>
      </c>
      <c r="J10" s="329" t="s">
        <v>59</v>
      </c>
      <c r="K10" s="329"/>
      <c r="L10" s="316" t="s">
        <v>2066</v>
      </c>
      <c r="M10" s="612"/>
      <c r="N10" s="329">
        <v>4</v>
      </c>
      <c r="O10" s="329">
        <v>2</v>
      </c>
      <c r="P10" s="329" t="s">
        <v>59</v>
      </c>
      <c r="Q10" s="329" t="s">
        <v>58</v>
      </c>
      <c r="R10" s="329" t="s">
        <v>2067</v>
      </c>
      <c r="S10" s="329"/>
      <c r="T10" s="615"/>
      <c r="U10" s="616"/>
      <c r="V10" s="617" t="s">
        <v>2068</v>
      </c>
      <c r="W10" s="618">
        <v>50002</v>
      </c>
      <c r="X10" s="619">
        <v>0.6</v>
      </c>
      <c r="Y10" s="618">
        <v>30001.199999999997</v>
      </c>
      <c r="Z10" s="618">
        <v>50002</v>
      </c>
      <c r="AA10" s="619">
        <v>0.4</v>
      </c>
      <c r="AB10" s="618">
        <v>20000.800000000003</v>
      </c>
      <c r="AC10" s="618">
        <v>10000.399999999994</v>
      </c>
      <c r="AD10" s="620">
        <v>0.33333333333333315</v>
      </c>
      <c r="AE10" s="618" t="e">
        <v>#N/A</v>
      </c>
    </row>
    <row r="11" spans="1:60" ht="262.2" hidden="1">
      <c r="A11" s="611" t="s">
        <v>2069</v>
      </c>
      <c r="B11" s="612" t="s">
        <v>2062</v>
      </c>
      <c r="C11" s="612" t="s">
        <v>2161</v>
      </c>
      <c r="D11" s="612"/>
      <c r="E11" s="613" t="s">
        <v>2070</v>
      </c>
      <c r="F11" s="330" t="s">
        <v>2071</v>
      </c>
      <c r="G11" s="612" t="s">
        <v>2065</v>
      </c>
      <c r="H11" s="614">
        <v>5</v>
      </c>
      <c r="I11" s="614">
        <v>4</v>
      </c>
      <c r="J11" s="329" t="s">
        <v>58</v>
      </c>
      <c r="K11" s="329"/>
      <c r="L11" s="316" t="s">
        <v>2072</v>
      </c>
      <c r="M11" s="612"/>
      <c r="N11" s="329">
        <v>5</v>
      </c>
      <c r="O11" s="329">
        <v>3</v>
      </c>
      <c r="P11" s="329" t="s">
        <v>58</v>
      </c>
      <c r="Q11" s="329" t="s">
        <v>58</v>
      </c>
      <c r="R11" s="329" t="s">
        <v>2073</v>
      </c>
      <c r="S11" s="329"/>
      <c r="T11" s="615"/>
      <c r="U11" s="616"/>
      <c r="V11" s="617" t="s">
        <v>2074</v>
      </c>
      <c r="W11" s="618">
        <v>50003</v>
      </c>
      <c r="X11" s="619">
        <v>0.8</v>
      </c>
      <c r="Y11" s="618">
        <v>40002.400000000001</v>
      </c>
      <c r="Z11" s="618">
        <v>50003</v>
      </c>
      <c r="AA11" s="619">
        <v>0.6</v>
      </c>
      <c r="AB11" s="618">
        <v>30001.8</v>
      </c>
      <c r="AC11" s="618">
        <v>10000.600000000002</v>
      </c>
      <c r="AD11" s="620">
        <v>0.25000000000000006</v>
      </c>
      <c r="AE11" s="618" t="e">
        <v>#N/A</v>
      </c>
    </row>
    <row r="12" spans="1:60" ht="220.8" hidden="1">
      <c r="A12" s="611" t="s">
        <v>1266</v>
      </c>
      <c r="B12" s="612" t="s">
        <v>2062</v>
      </c>
      <c r="C12" s="612" t="s">
        <v>2151</v>
      </c>
      <c r="D12" s="612"/>
      <c r="E12" s="613" t="s">
        <v>2075</v>
      </c>
      <c r="F12" s="330" t="s">
        <v>2076</v>
      </c>
      <c r="G12" s="612" t="s">
        <v>2077</v>
      </c>
      <c r="H12" s="614">
        <v>4</v>
      </c>
      <c r="I12" s="614">
        <v>3</v>
      </c>
      <c r="J12" s="329" t="s">
        <v>59</v>
      </c>
      <c r="K12" s="329"/>
      <c r="L12" s="606" t="s">
        <v>2078</v>
      </c>
      <c r="M12" s="612"/>
      <c r="N12" s="329">
        <v>3</v>
      </c>
      <c r="O12" s="329">
        <v>3</v>
      </c>
      <c r="P12" s="329" t="s">
        <v>59</v>
      </c>
      <c r="Q12" s="329" t="s">
        <v>58</v>
      </c>
      <c r="R12" s="329" t="s">
        <v>2079</v>
      </c>
      <c r="S12" s="329"/>
      <c r="T12" s="615"/>
      <c r="U12" s="616"/>
      <c r="V12" s="617" t="s">
        <v>2080</v>
      </c>
      <c r="W12" s="618">
        <v>50004</v>
      </c>
      <c r="X12" s="619">
        <v>0.6</v>
      </c>
      <c r="Y12" s="618">
        <v>30002.399999999998</v>
      </c>
      <c r="Z12" s="618">
        <v>50004</v>
      </c>
      <c r="AA12" s="619">
        <v>0.6</v>
      </c>
      <c r="AB12" s="618">
        <v>30002.399999999998</v>
      </c>
      <c r="AC12" s="618">
        <v>0</v>
      </c>
      <c r="AD12" s="620">
        <v>0</v>
      </c>
      <c r="AE12" s="618" t="e">
        <v>#N/A</v>
      </c>
    </row>
    <row r="13" spans="1:60" ht="165.6" hidden="1">
      <c r="A13" s="611" t="s">
        <v>2081</v>
      </c>
      <c r="B13" s="612" t="s">
        <v>2062</v>
      </c>
      <c r="C13" s="612" t="s">
        <v>2157</v>
      </c>
      <c r="D13" s="612"/>
      <c r="E13" s="613" t="s">
        <v>2082</v>
      </c>
      <c r="F13" s="330" t="s">
        <v>2083</v>
      </c>
      <c r="G13" s="612" t="s">
        <v>2084</v>
      </c>
      <c r="H13" s="614">
        <v>5</v>
      </c>
      <c r="I13" s="614">
        <v>3</v>
      </c>
      <c r="J13" s="329" t="s">
        <v>58</v>
      </c>
      <c r="K13" s="329"/>
      <c r="L13" s="606" t="s">
        <v>2085</v>
      </c>
      <c r="M13" s="612"/>
      <c r="N13" s="329">
        <v>5</v>
      </c>
      <c r="O13" s="329">
        <v>2</v>
      </c>
      <c r="P13" s="329" t="s">
        <v>59</v>
      </c>
      <c r="Q13" s="329" t="s">
        <v>58</v>
      </c>
      <c r="R13" s="329" t="s">
        <v>2086</v>
      </c>
      <c r="S13" s="329"/>
      <c r="T13" s="615"/>
      <c r="U13" s="616"/>
      <c r="V13" s="617" t="s">
        <v>2087</v>
      </c>
      <c r="W13" s="618">
        <v>50005</v>
      </c>
      <c r="X13" s="619">
        <v>0.6</v>
      </c>
      <c r="Y13" s="618">
        <v>30003</v>
      </c>
      <c r="Z13" s="618">
        <v>50005</v>
      </c>
      <c r="AA13" s="619">
        <v>0.4</v>
      </c>
      <c r="AB13" s="618">
        <v>20002</v>
      </c>
      <c r="AC13" s="618">
        <v>10001</v>
      </c>
      <c r="AD13" s="620">
        <v>0.33333333333333331</v>
      </c>
      <c r="AE13" s="618" t="e">
        <v>#N/A</v>
      </c>
    </row>
    <row r="14" spans="1:60" ht="276" hidden="1">
      <c r="A14" s="611" t="s">
        <v>2088</v>
      </c>
      <c r="B14" s="612" t="s">
        <v>2062</v>
      </c>
      <c r="C14" s="612" t="s">
        <v>2055</v>
      </c>
      <c r="D14" s="612"/>
      <c r="E14" s="613" t="s">
        <v>2089</v>
      </c>
      <c r="F14" s="330" t="s">
        <v>2090</v>
      </c>
      <c r="G14" s="612" t="s">
        <v>2091</v>
      </c>
      <c r="H14" s="614">
        <v>5</v>
      </c>
      <c r="I14" s="614">
        <v>5</v>
      </c>
      <c r="J14" s="329" t="s">
        <v>58</v>
      </c>
      <c r="K14" s="329"/>
      <c r="L14" s="316" t="s">
        <v>2092</v>
      </c>
      <c r="M14" s="612"/>
      <c r="N14" s="329">
        <v>4</v>
      </c>
      <c r="O14" s="329">
        <v>5</v>
      </c>
      <c r="P14" s="329" t="s">
        <v>58</v>
      </c>
      <c r="Q14" s="329" t="s">
        <v>58</v>
      </c>
      <c r="R14" s="329" t="s">
        <v>2093</v>
      </c>
      <c r="S14" s="329"/>
      <c r="T14" s="615"/>
      <c r="U14" s="616"/>
      <c r="V14" s="617" t="s">
        <v>2094</v>
      </c>
      <c r="W14" s="618">
        <v>50006</v>
      </c>
      <c r="X14" s="619">
        <v>1</v>
      </c>
      <c r="Y14" s="618">
        <v>50006</v>
      </c>
      <c r="Z14" s="618">
        <v>50006</v>
      </c>
      <c r="AA14" s="619">
        <v>1</v>
      </c>
      <c r="AB14" s="618">
        <v>50006</v>
      </c>
      <c r="AC14" s="618">
        <v>0</v>
      </c>
      <c r="AD14" s="620">
        <v>0</v>
      </c>
      <c r="AE14" s="618" t="e">
        <v>#N/A</v>
      </c>
    </row>
    <row r="15" spans="1:60" ht="207" hidden="1">
      <c r="A15" s="611"/>
      <c r="B15" s="612" t="s">
        <v>2062</v>
      </c>
      <c r="C15" s="612" t="s">
        <v>2151</v>
      </c>
      <c r="D15" s="612"/>
      <c r="E15" s="613" t="s">
        <v>2095</v>
      </c>
      <c r="F15" s="330" t="s">
        <v>2096</v>
      </c>
      <c r="G15" s="612" t="s">
        <v>2051</v>
      </c>
      <c r="H15" s="614">
        <v>5</v>
      </c>
      <c r="I15" s="614">
        <v>4</v>
      </c>
      <c r="J15" s="329" t="s">
        <v>58</v>
      </c>
      <c r="K15" s="329"/>
      <c r="L15" s="316" t="s">
        <v>2097</v>
      </c>
      <c r="M15" s="612"/>
      <c r="N15" s="329">
        <v>5</v>
      </c>
      <c r="O15" s="329">
        <v>3</v>
      </c>
      <c r="P15" s="329" t="s">
        <v>58</v>
      </c>
      <c r="Q15" s="329" t="s">
        <v>58</v>
      </c>
      <c r="R15" s="329" t="s">
        <v>2098</v>
      </c>
      <c r="S15" s="329"/>
      <c r="T15" s="615"/>
      <c r="U15" s="616"/>
      <c r="V15" s="617" t="s">
        <v>2099</v>
      </c>
      <c r="W15" s="618">
        <v>50007</v>
      </c>
      <c r="X15" s="619">
        <v>0.8</v>
      </c>
      <c r="Y15" s="618">
        <v>40005.600000000006</v>
      </c>
      <c r="Z15" s="618">
        <v>50007</v>
      </c>
      <c r="AA15" s="619">
        <v>0.6</v>
      </c>
      <c r="AB15" s="618">
        <v>30004.199999999997</v>
      </c>
      <c r="AC15" s="618">
        <v>10001.400000000009</v>
      </c>
      <c r="AD15" s="620">
        <v>0.25000000000000017</v>
      </c>
      <c r="AE15" s="618" t="e">
        <v>#N/A</v>
      </c>
    </row>
    <row r="16" spans="1:60" ht="96.6" hidden="1">
      <c r="A16" s="611"/>
      <c r="B16" s="612" t="s">
        <v>2100</v>
      </c>
      <c r="C16" s="612" t="s">
        <v>2154</v>
      </c>
      <c r="D16" s="612"/>
      <c r="E16" s="613" t="s">
        <v>2101</v>
      </c>
      <c r="F16" s="330" t="s">
        <v>2102</v>
      </c>
      <c r="G16" s="612" t="s">
        <v>2103</v>
      </c>
      <c r="H16" s="614">
        <v>4</v>
      </c>
      <c r="I16" s="614">
        <v>3</v>
      </c>
      <c r="J16" s="329" t="s">
        <v>59</v>
      </c>
      <c r="K16" s="329"/>
      <c r="L16" s="316" t="s">
        <v>2104</v>
      </c>
      <c r="M16" s="612"/>
      <c r="N16" s="329">
        <v>4</v>
      </c>
      <c r="O16" s="329">
        <v>2</v>
      </c>
      <c r="P16" s="329" t="s">
        <v>59</v>
      </c>
      <c r="Q16" s="329" t="s">
        <v>58</v>
      </c>
      <c r="R16" s="329" t="s">
        <v>2105</v>
      </c>
      <c r="S16" s="329"/>
      <c r="T16" s="615"/>
      <c r="U16" s="616"/>
      <c r="V16" s="617" t="s">
        <v>2080</v>
      </c>
      <c r="W16" s="618">
        <v>50008</v>
      </c>
      <c r="X16" s="619">
        <v>0.6</v>
      </c>
      <c r="Y16" s="618">
        <v>30004.799999999999</v>
      </c>
      <c r="Z16" s="618">
        <v>50008</v>
      </c>
      <c r="AA16" s="619">
        <v>0.4</v>
      </c>
      <c r="AB16" s="618">
        <v>20003.2</v>
      </c>
      <c r="AC16" s="618">
        <v>10001.599999999999</v>
      </c>
      <c r="AD16" s="620">
        <v>0.33333333333333331</v>
      </c>
      <c r="AE16" s="618" t="e">
        <v>#N/A</v>
      </c>
    </row>
    <row r="17" spans="1:31" ht="207" hidden="1">
      <c r="A17" s="611" t="s">
        <v>2106</v>
      </c>
      <c r="B17" s="612" t="s">
        <v>2062</v>
      </c>
      <c r="C17" s="612" t="s">
        <v>2157</v>
      </c>
      <c r="D17" s="612"/>
      <c r="E17" s="613" t="s">
        <v>2107</v>
      </c>
      <c r="F17" s="330" t="s">
        <v>2108</v>
      </c>
      <c r="G17" s="612" t="s">
        <v>2109</v>
      </c>
      <c r="H17" s="614">
        <v>5</v>
      </c>
      <c r="I17" s="614">
        <v>4</v>
      </c>
      <c r="J17" s="329" t="s">
        <v>58</v>
      </c>
      <c r="K17" s="329"/>
      <c r="L17" s="316" t="s">
        <v>2110</v>
      </c>
      <c r="M17" s="612"/>
      <c r="N17" s="329">
        <v>4</v>
      </c>
      <c r="O17" s="329">
        <v>3</v>
      </c>
      <c r="P17" s="329" t="s">
        <v>59</v>
      </c>
      <c r="Q17" s="329" t="s">
        <v>59</v>
      </c>
      <c r="R17" s="329" t="s">
        <v>2111</v>
      </c>
      <c r="S17" s="329"/>
      <c r="T17" s="615"/>
      <c r="U17" s="616"/>
      <c r="V17" s="617" t="s">
        <v>2112</v>
      </c>
      <c r="W17" s="618">
        <v>50009</v>
      </c>
      <c r="X17" s="619">
        <v>0.8</v>
      </c>
      <c r="Y17" s="618">
        <v>40007.200000000004</v>
      </c>
      <c r="Z17" s="618">
        <v>50009</v>
      </c>
      <c r="AA17" s="619">
        <v>0.6</v>
      </c>
      <c r="AB17" s="618">
        <v>30005.399999999998</v>
      </c>
      <c r="AC17" s="618">
        <v>10001.800000000007</v>
      </c>
      <c r="AD17" s="620">
        <v>0.25000000000000011</v>
      </c>
      <c r="AE17" s="618" t="e">
        <v>#N/A</v>
      </c>
    </row>
    <row r="18" spans="1:31" ht="220.8" hidden="1">
      <c r="A18" s="611" t="s">
        <v>2113</v>
      </c>
      <c r="B18" s="612" t="s">
        <v>2062</v>
      </c>
      <c r="C18" s="612" t="s">
        <v>2055</v>
      </c>
      <c r="D18" s="612"/>
      <c r="E18" s="613" t="s">
        <v>2114</v>
      </c>
      <c r="F18" s="330" t="s">
        <v>2115</v>
      </c>
      <c r="G18" s="612" t="s">
        <v>2116</v>
      </c>
      <c r="H18" s="614">
        <v>4</v>
      </c>
      <c r="I18" s="614">
        <v>4</v>
      </c>
      <c r="J18" s="329" t="s">
        <v>58</v>
      </c>
      <c r="K18" s="329"/>
      <c r="L18" s="316" t="s">
        <v>2117</v>
      </c>
      <c r="M18" s="612"/>
      <c r="N18" s="329">
        <v>4</v>
      </c>
      <c r="O18" s="329">
        <v>3</v>
      </c>
      <c r="P18" s="329" t="s">
        <v>59</v>
      </c>
      <c r="Q18" s="329" t="s">
        <v>59</v>
      </c>
      <c r="R18" s="329"/>
      <c r="S18" s="329"/>
      <c r="T18" s="615"/>
      <c r="U18" s="616"/>
      <c r="V18" s="617" t="s">
        <v>2118</v>
      </c>
      <c r="W18" s="618">
        <v>50010</v>
      </c>
      <c r="X18" s="619">
        <v>0.8</v>
      </c>
      <c r="Y18" s="618">
        <v>40008</v>
      </c>
      <c r="Z18" s="618">
        <v>50010</v>
      </c>
      <c r="AA18" s="619">
        <v>0.6</v>
      </c>
      <c r="AB18" s="618">
        <v>30006</v>
      </c>
      <c r="AC18" s="618">
        <v>10002</v>
      </c>
      <c r="AD18" s="620">
        <v>0.25</v>
      </c>
      <c r="AE18" s="618" t="e">
        <v>#N/A</v>
      </c>
    </row>
    <row r="19" spans="1:31" ht="179.4" hidden="1">
      <c r="A19" s="611"/>
      <c r="B19" s="612" t="s">
        <v>2119</v>
      </c>
      <c r="C19" s="612" t="s">
        <v>2151</v>
      </c>
      <c r="D19" s="612"/>
      <c r="E19" s="613" t="s">
        <v>2120</v>
      </c>
      <c r="F19" s="330" t="s">
        <v>2121</v>
      </c>
      <c r="G19" s="612"/>
      <c r="H19" s="614">
        <v>4</v>
      </c>
      <c r="I19" s="614">
        <v>5</v>
      </c>
      <c r="J19" s="329" t="s">
        <v>58</v>
      </c>
      <c r="K19" s="329"/>
      <c r="L19" s="316" t="s">
        <v>2122</v>
      </c>
      <c r="M19" s="612"/>
      <c r="N19" s="329">
        <v>3</v>
      </c>
      <c r="O19" s="329">
        <v>4</v>
      </c>
      <c r="P19" s="329" t="s">
        <v>59</v>
      </c>
      <c r="Q19" s="329" t="s">
        <v>159</v>
      </c>
      <c r="R19" s="329" t="s">
        <v>2123</v>
      </c>
      <c r="S19" s="329"/>
      <c r="T19" s="615"/>
      <c r="U19" s="616"/>
      <c r="V19" s="617" t="s">
        <v>2094</v>
      </c>
      <c r="W19" s="618">
        <v>50011</v>
      </c>
      <c r="X19" s="619">
        <v>1</v>
      </c>
      <c r="Y19" s="618">
        <v>50011</v>
      </c>
      <c r="Z19" s="618">
        <v>50011</v>
      </c>
      <c r="AA19" s="619">
        <v>0.8</v>
      </c>
      <c r="AB19" s="618">
        <v>40008.800000000003</v>
      </c>
      <c r="AC19" s="618">
        <v>10002.199999999997</v>
      </c>
      <c r="AD19" s="620">
        <v>0.19999999999999996</v>
      </c>
      <c r="AE19" s="618" t="e">
        <v>#N/A</v>
      </c>
    </row>
    <row r="20" spans="1:31" ht="96.6" hidden="1">
      <c r="A20" s="611"/>
      <c r="B20" s="612" t="s">
        <v>2119</v>
      </c>
      <c r="C20" s="612" t="s">
        <v>2163</v>
      </c>
      <c r="D20" s="612"/>
      <c r="E20" s="613" t="s">
        <v>2124</v>
      </c>
      <c r="F20" s="330" t="s">
        <v>2125</v>
      </c>
      <c r="G20" s="612"/>
      <c r="H20" s="614">
        <v>4</v>
      </c>
      <c r="I20" s="614">
        <v>5</v>
      </c>
      <c r="J20" s="329" t="s">
        <v>58</v>
      </c>
      <c r="K20" s="329"/>
      <c r="L20" s="316" t="s">
        <v>2126</v>
      </c>
      <c r="M20" s="612"/>
      <c r="N20" s="329">
        <v>3</v>
      </c>
      <c r="O20" s="329">
        <v>4</v>
      </c>
      <c r="P20" s="329" t="s">
        <v>59</v>
      </c>
      <c r="Q20" s="329" t="s">
        <v>58</v>
      </c>
      <c r="R20" s="329" t="s">
        <v>2127</v>
      </c>
      <c r="S20" s="329"/>
      <c r="T20" s="615"/>
      <c r="U20" s="616"/>
      <c r="V20" s="617" t="s">
        <v>2094</v>
      </c>
      <c r="W20" s="618">
        <v>50012</v>
      </c>
      <c r="X20" s="619">
        <v>1</v>
      </c>
      <c r="Y20" s="618">
        <v>50012</v>
      </c>
      <c r="Z20" s="618">
        <v>50012</v>
      </c>
      <c r="AA20" s="619">
        <v>0.8</v>
      </c>
      <c r="AB20" s="618">
        <v>40009.600000000006</v>
      </c>
      <c r="AC20" s="618">
        <v>10002.399999999994</v>
      </c>
      <c r="AD20" s="620">
        <v>0.19999999999999987</v>
      </c>
      <c r="AE20" s="618" t="e">
        <v>#N/A</v>
      </c>
    </row>
    <row r="21" spans="1:31" ht="220.8" hidden="1">
      <c r="A21" s="611"/>
      <c r="B21" s="612" t="s">
        <v>2062</v>
      </c>
      <c r="C21" s="612" t="s">
        <v>2161</v>
      </c>
      <c r="D21" s="612"/>
      <c r="E21" s="613" t="s">
        <v>2128</v>
      </c>
      <c r="F21" s="330" t="s">
        <v>2129</v>
      </c>
      <c r="G21" s="612" t="s">
        <v>2130</v>
      </c>
      <c r="H21" s="614">
        <v>4</v>
      </c>
      <c r="I21" s="614">
        <v>3</v>
      </c>
      <c r="J21" s="329" t="s">
        <v>59</v>
      </c>
      <c r="K21" s="329"/>
      <c r="L21" s="316" t="s">
        <v>2131</v>
      </c>
      <c r="M21" s="612"/>
      <c r="N21" s="329">
        <v>3</v>
      </c>
      <c r="O21" s="329">
        <v>3</v>
      </c>
      <c r="P21" s="329" t="s">
        <v>59</v>
      </c>
      <c r="Q21" s="329" t="s">
        <v>58</v>
      </c>
      <c r="R21" s="329" t="s">
        <v>2132</v>
      </c>
      <c r="S21" s="329"/>
      <c r="T21" s="615"/>
      <c r="U21" s="616"/>
      <c r="V21" s="617" t="s">
        <v>2133</v>
      </c>
      <c r="W21" s="618">
        <v>50013</v>
      </c>
      <c r="X21" s="619">
        <v>0.6</v>
      </c>
      <c r="Y21" s="618">
        <v>30007.8</v>
      </c>
      <c r="Z21" s="618">
        <v>50013</v>
      </c>
      <c r="AA21" s="619">
        <v>0.6</v>
      </c>
      <c r="AB21" s="618">
        <v>30007.8</v>
      </c>
      <c r="AC21" s="618">
        <v>0</v>
      </c>
      <c r="AD21" s="620">
        <v>0</v>
      </c>
      <c r="AE21" s="618" t="e">
        <v>#N/A</v>
      </c>
    </row>
    <row r="22" spans="1:31" ht="138" hidden="1">
      <c r="A22" s="611"/>
      <c r="B22" s="612" t="s">
        <v>2119</v>
      </c>
      <c r="C22" s="612" t="s">
        <v>2055</v>
      </c>
      <c r="D22" s="615"/>
      <c r="E22" s="613" t="s">
        <v>2134</v>
      </c>
      <c r="F22" s="330" t="s">
        <v>2135</v>
      </c>
      <c r="G22" s="612" t="s">
        <v>2136</v>
      </c>
      <c r="H22" s="614">
        <v>4</v>
      </c>
      <c r="I22" s="614">
        <v>3</v>
      </c>
      <c r="J22" s="329" t="s">
        <v>59</v>
      </c>
      <c r="K22" s="329"/>
      <c r="L22" s="316" t="s">
        <v>2137</v>
      </c>
      <c r="M22" s="612"/>
      <c r="N22" s="329">
        <v>3</v>
      </c>
      <c r="O22" s="329">
        <v>3</v>
      </c>
      <c r="P22" s="329" t="s">
        <v>59</v>
      </c>
      <c r="Q22" s="329" t="s">
        <v>58</v>
      </c>
      <c r="R22" s="329" t="s">
        <v>2138</v>
      </c>
      <c r="S22" s="329"/>
      <c r="T22" s="615"/>
      <c r="U22" s="616"/>
      <c r="V22" s="617" t="s">
        <v>2094</v>
      </c>
      <c r="W22" s="618">
        <v>50014</v>
      </c>
      <c r="X22" s="619">
        <v>0.6</v>
      </c>
      <c r="Y22" s="618">
        <v>30008.399999999998</v>
      </c>
      <c r="Z22" s="618">
        <v>50014</v>
      </c>
      <c r="AA22" s="619">
        <v>0.6</v>
      </c>
      <c r="AB22" s="618">
        <v>30008.399999999998</v>
      </c>
      <c r="AC22" s="618">
        <v>0</v>
      </c>
      <c r="AD22" s="620">
        <v>0</v>
      </c>
      <c r="AE22" s="618" t="e">
        <v>#N/A</v>
      </c>
    </row>
    <row r="23" spans="1:31" ht="262.2" hidden="1">
      <c r="A23" s="611" t="s">
        <v>2048</v>
      </c>
      <c r="B23" s="612" t="s">
        <v>33</v>
      </c>
      <c r="C23" s="612" t="s">
        <v>2154</v>
      </c>
      <c r="D23" s="615">
        <v>46081</v>
      </c>
      <c r="E23" s="613" t="s">
        <v>2049</v>
      </c>
      <c r="F23" s="330" t="s">
        <v>2050</v>
      </c>
      <c r="G23" s="612" t="s">
        <v>2051</v>
      </c>
      <c r="H23" s="614">
        <v>5</v>
      </c>
      <c r="I23" s="614">
        <v>4</v>
      </c>
      <c r="J23" s="329" t="s">
        <v>58</v>
      </c>
      <c r="K23" s="329"/>
      <c r="L23" s="316" t="s">
        <v>2052</v>
      </c>
      <c r="M23" s="612"/>
      <c r="N23" s="329">
        <v>5</v>
      </c>
      <c r="O23" s="329">
        <v>3</v>
      </c>
      <c r="P23" s="329" t="s">
        <v>58</v>
      </c>
      <c r="Q23" s="329" t="s">
        <v>58</v>
      </c>
      <c r="R23" s="329" t="s">
        <v>2053</v>
      </c>
      <c r="S23" s="329"/>
      <c r="T23" s="615">
        <v>46079</v>
      </c>
      <c r="U23" s="616"/>
      <c r="V23" s="617" t="s">
        <v>29</v>
      </c>
      <c r="W23" s="618">
        <v>100000</v>
      </c>
      <c r="X23" s="619">
        <v>0.8</v>
      </c>
      <c r="Y23" s="618">
        <v>80000</v>
      </c>
      <c r="Z23" s="618">
        <v>50000</v>
      </c>
      <c r="AA23" s="619">
        <v>0.6</v>
      </c>
      <c r="AB23" s="618">
        <v>30000</v>
      </c>
      <c r="AC23" s="618">
        <v>50000</v>
      </c>
      <c r="AD23" s="620">
        <v>0.625</v>
      </c>
      <c r="AE23" s="618" t="e">
        <v>#N/A</v>
      </c>
    </row>
    <row r="24" spans="1:31" ht="248.4" hidden="1">
      <c r="A24" s="611" t="s">
        <v>2054</v>
      </c>
      <c r="B24" s="612" t="s">
        <v>56</v>
      </c>
      <c r="C24" s="612" t="s">
        <v>2157</v>
      </c>
      <c r="D24" s="612"/>
      <c r="E24" s="613" t="s">
        <v>2056</v>
      </c>
      <c r="F24" s="330" t="s">
        <v>2057</v>
      </c>
      <c r="G24" s="612" t="s">
        <v>2058</v>
      </c>
      <c r="H24" s="614">
        <v>4</v>
      </c>
      <c r="I24" s="614">
        <v>3</v>
      </c>
      <c r="J24" s="329" t="s">
        <v>59</v>
      </c>
      <c r="K24" s="329"/>
      <c r="L24" s="316" t="s">
        <v>2059</v>
      </c>
      <c r="M24" s="612"/>
      <c r="N24" s="329">
        <v>4</v>
      </c>
      <c r="O24" s="329">
        <v>2</v>
      </c>
      <c r="P24" s="329" t="s">
        <v>59</v>
      </c>
      <c r="Q24" s="329" t="s">
        <v>58</v>
      </c>
      <c r="R24" s="329" t="s">
        <v>2060</v>
      </c>
      <c r="S24" s="329"/>
      <c r="T24" s="615"/>
      <c r="U24" s="616"/>
      <c r="V24" s="617" t="s">
        <v>2061</v>
      </c>
      <c r="W24" s="618">
        <v>50001</v>
      </c>
      <c r="X24" s="619">
        <v>0.6</v>
      </c>
      <c r="Y24" s="618">
        <v>30000.6</v>
      </c>
      <c r="Z24" s="618">
        <v>50001</v>
      </c>
      <c r="AA24" s="619">
        <v>0.4</v>
      </c>
      <c r="AB24" s="618">
        <v>20000.400000000001</v>
      </c>
      <c r="AC24" s="618">
        <v>10000.199999999997</v>
      </c>
      <c r="AD24" s="620">
        <v>0.33333333333333326</v>
      </c>
      <c r="AE24" s="618" t="e">
        <v>#N/A</v>
      </c>
    </row>
    <row r="25" spans="1:31" ht="220.8" hidden="1">
      <c r="A25" s="611" t="s">
        <v>1265</v>
      </c>
      <c r="B25" s="612" t="s">
        <v>2062</v>
      </c>
      <c r="C25" s="612" t="s">
        <v>2154</v>
      </c>
      <c r="D25" s="612"/>
      <c r="E25" s="613" t="s">
        <v>2063</v>
      </c>
      <c r="F25" s="330" t="s">
        <v>2064</v>
      </c>
      <c r="G25" s="612" t="s">
        <v>2065</v>
      </c>
      <c r="H25" s="614">
        <v>4</v>
      </c>
      <c r="I25" s="614">
        <v>3</v>
      </c>
      <c r="J25" s="329" t="s">
        <v>59</v>
      </c>
      <c r="K25" s="329"/>
      <c r="L25" s="316" t="s">
        <v>2066</v>
      </c>
      <c r="M25" s="612"/>
      <c r="N25" s="329">
        <v>4</v>
      </c>
      <c r="O25" s="329">
        <v>2</v>
      </c>
      <c r="P25" s="329" t="s">
        <v>59</v>
      </c>
      <c r="Q25" s="329" t="s">
        <v>58</v>
      </c>
      <c r="R25" s="329" t="s">
        <v>2067</v>
      </c>
      <c r="S25" s="329"/>
      <c r="T25" s="615"/>
      <c r="U25" s="616"/>
      <c r="V25" s="617" t="s">
        <v>2068</v>
      </c>
      <c r="W25" s="618">
        <v>50002</v>
      </c>
      <c r="X25" s="619">
        <v>0.6</v>
      </c>
      <c r="Y25" s="618">
        <v>30001.199999999997</v>
      </c>
      <c r="Z25" s="618">
        <v>50002</v>
      </c>
      <c r="AA25" s="619">
        <v>0.4</v>
      </c>
      <c r="AB25" s="618">
        <v>20000.800000000003</v>
      </c>
      <c r="AC25" s="618">
        <v>10000.399999999994</v>
      </c>
      <c r="AD25" s="620">
        <v>0.33333333333333315</v>
      </c>
      <c r="AE25" s="618" t="e">
        <v>#N/A</v>
      </c>
    </row>
    <row r="26" spans="1:31" ht="262.2" hidden="1">
      <c r="A26" s="611" t="s">
        <v>2069</v>
      </c>
      <c r="B26" s="612" t="s">
        <v>2062</v>
      </c>
      <c r="C26" s="612" t="s">
        <v>2154</v>
      </c>
      <c r="D26" s="612"/>
      <c r="E26" s="613" t="s">
        <v>2070</v>
      </c>
      <c r="F26" s="330" t="s">
        <v>2071</v>
      </c>
      <c r="G26" s="612" t="s">
        <v>2065</v>
      </c>
      <c r="H26" s="614">
        <v>5</v>
      </c>
      <c r="I26" s="614">
        <v>4</v>
      </c>
      <c r="J26" s="329" t="s">
        <v>58</v>
      </c>
      <c r="K26" s="329"/>
      <c r="L26" s="606" t="s">
        <v>2072</v>
      </c>
      <c r="M26" s="612"/>
      <c r="N26" s="329">
        <v>5</v>
      </c>
      <c r="O26" s="329">
        <v>3</v>
      </c>
      <c r="P26" s="329" t="s">
        <v>58</v>
      </c>
      <c r="Q26" s="329" t="s">
        <v>58</v>
      </c>
      <c r="R26" s="329" t="s">
        <v>2073</v>
      </c>
      <c r="S26" s="329"/>
      <c r="T26" s="615"/>
      <c r="U26" s="616"/>
      <c r="V26" s="617" t="s">
        <v>2074</v>
      </c>
      <c r="W26" s="618">
        <v>50003</v>
      </c>
      <c r="X26" s="619">
        <v>0.8</v>
      </c>
      <c r="Y26" s="618">
        <v>40002.400000000001</v>
      </c>
      <c r="Z26" s="618">
        <v>50003</v>
      </c>
      <c r="AA26" s="619">
        <v>0.6</v>
      </c>
      <c r="AB26" s="618">
        <v>30001.8</v>
      </c>
      <c r="AC26" s="618">
        <v>10000.600000000002</v>
      </c>
      <c r="AD26" s="620">
        <v>0.25000000000000006</v>
      </c>
      <c r="AE26" s="618" t="e">
        <v>#N/A</v>
      </c>
    </row>
    <row r="27" spans="1:31" ht="220.8" hidden="1">
      <c r="A27" s="611" t="s">
        <v>1266</v>
      </c>
      <c r="B27" s="612" t="s">
        <v>2062</v>
      </c>
      <c r="C27" s="612" t="s">
        <v>2151</v>
      </c>
      <c r="D27" s="612"/>
      <c r="E27" s="613" t="s">
        <v>2075</v>
      </c>
      <c r="F27" s="330" t="s">
        <v>2076</v>
      </c>
      <c r="G27" s="612" t="s">
        <v>2077</v>
      </c>
      <c r="H27" s="614">
        <v>4</v>
      </c>
      <c r="I27" s="614">
        <v>3</v>
      </c>
      <c r="J27" s="329" t="s">
        <v>59</v>
      </c>
      <c r="K27" s="329"/>
      <c r="L27" s="316" t="s">
        <v>2078</v>
      </c>
      <c r="M27" s="612"/>
      <c r="N27" s="329">
        <v>3</v>
      </c>
      <c r="O27" s="329">
        <v>3</v>
      </c>
      <c r="P27" s="329" t="s">
        <v>59</v>
      </c>
      <c r="Q27" s="329" t="s">
        <v>58</v>
      </c>
      <c r="R27" s="329" t="s">
        <v>2079</v>
      </c>
      <c r="S27" s="329"/>
      <c r="T27" s="615"/>
      <c r="U27" s="616"/>
      <c r="V27" s="617" t="s">
        <v>2080</v>
      </c>
      <c r="W27" s="618">
        <v>50004</v>
      </c>
      <c r="X27" s="619">
        <v>0.6</v>
      </c>
      <c r="Y27" s="618">
        <v>30002.399999999998</v>
      </c>
      <c r="Z27" s="618">
        <v>50004</v>
      </c>
      <c r="AA27" s="619">
        <v>0.6</v>
      </c>
      <c r="AB27" s="618">
        <v>30002.399999999998</v>
      </c>
      <c r="AC27" s="618">
        <v>0</v>
      </c>
      <c r="AD27" s="620">
        <v>0</v>
      </c>
      <c r="AE27" s="618" t="e">
        <v>#N/A</v>
      </c>
    </row>
    <row r="28" spans="1:31" ht="165.6" hidden="1">
      <c r="A28" s="611" t="s">
        <v>2081</v>
      </c>
      <c r="B28" s="612" t="s">
        <v>2062</v>
      </c>
      <c r="C28" s="612" t="s">
        <v>2154</v>
      </c>
      <c r="D28" s="612"/>
      <c r="E28" s="613" t="s">
        <v>2082</v>
      </c>
      <c r="F28" s="330" t="s">
        <v>2083</v>
      </c>
      <c r="G28" s="612" t="s">
        <v>2084</v>
      </c>
      <c r="H28" s="614">
        <v>5</v>
      </c>
      <c r="I28" s="614">
        <v>3</v>
      </c>
      <c r="J28" s="329" t="s">
        <v>58</v>
      </c>
      <c r="K28" s="329"/>
      <c r="L28" s="606" t="s">
        <v>2085</v>
      </c>
      <c r="M28" s="612"/>
      <c r="N28" s="329">
        <v>5</v>
      </c>
      <c r="O28" s="329">
        <v>2</v>
      </c>
      <c r="P28" s="329" t="s">
        <v>59</v>
      </c>
      <c r="Q28" s="329" t="s">
        <v>58</v>
      </c>
      <c r="R28" s="329" t="s">
        <v>2086</v>
      </c>
      <c r="S28" s="329"/>
      <c r="T28" s="615"/>
      <c r="U28" s="616"/>
      <c r="V28" s="617" t="s">
        <v>2087</v>
      </c>
      <c r="W28" s="618">
        <v>50005</v>
      </c>
      <c r="X28" s="619">
        <v>0.6</v>
      </c>
      <c r="Y28" s="618">
        <v>30003</v>
      </c>
      <c r="Z28" s="618">
        <v>50005</v>
      </c>
      <c r="AA28" s="619">
        <v>0.4</v>
      </c>
      <c r="AB28" s="618">
        <v>20002</v>
      </c>
      <c r="AC28" s="618">
        <v>10001</v>
      </c>
      <c r="AD28" s="620">
        <v>0.33333333333333331</v>
      </c>
      <c r="AE28" s="618" t="e">
        <v>#N/A</v>
      </c>
    </row>
    <row r="29" spans="1:31" ht="276" hidden="1">
      <c r="A29" s="611" t="s">
        <v>2088</v>
      </c>
      <c r="B29" s="612" t="s">
        <v>2062</v>
      </c>
      <c r="C29" s="612" t="s">
        <v>2157</v>
      </c>
      <c r="D29" s="612"/>
      <c r="E29" s="613" t="s">
        <v>2089</v>
      </c>
      <c r="F29" s="330" t="s">
        <v>2090</v>
      </c>
      <c r="G29" s="612" t="s">
        <v>2091</v>
      </c>
      <c r="H29" s="614">
        <v>5</v>
      </c>
      <c r="I29" s="614">
        <v>5</v>
      </c>
      <c r="J29" s="329" t="s">
        <v>58</v>
      </c>
      <c r="K29" s="329"/>
      <c r="L29" s="316" t="s">
        <v>2092</v>
      </c>
      <c r="M29" s="612"/>
      <c r="N29" s="329">
        <v>4</v>
      </c>
      <c r="O29" s="329">
        <v>5</v>
      </c>
      <c r="P29" s="329" t="s">
        <v>58</v>
      </c>
      <c r="Q29" s="329" t="s">
        <v>58</v>
      </c>
      <c r="R29" s="329" t="s">
        <v>2093</v>
      </c>
      <c r="S29" s="329"/>
      <c r="T29" s="615"/>
      <c r="U29" s="616"/>
      <c r="V29" s="617" t="s">
        <v>2094</v>
      </c>
      <c r="W29" s="618">
        <v>50006</v>
      </c>
      <c r="X29" s="619">
        <v>1</v>
      </c>
      <c r="Y29" s="618">
        <v>50006</v>
      </c>
      <c r="Z29" s="618">
        <v>50006</v>
      </c>
      <c r="AA29" s="619">
        <v>1</v>
      </c>
      <c r="AB29" s="618">
        <v>50006</v>
      </c>
      <c r="AC29" s="618">
        <v>0</v>
      </c>
      <c r="AD29" s="620">
        <v>0</v>
      </c>
      <c r="AE29" s="618" t="e">
        <v>#N/A</v>
      </c>
    </row>
    <row r="30" spans="1:31" ht="207" hidden="1">
      <c r="A30" s="611"/>
      <c r="B30" s="612" t="s">
        <v>2062</v>
      </c>
      <c r="C30" s="612" t="s">
        <v>2154</v>
      </c>
      <c r="D30" s="612"/>
      <c r="E30" s="613" t="s">
        <v>2095</v>
      </c>
      <c r="F30" s="330" t="s">
        <v>2096</v>
      </c>
      <c r="G30" s="612" t="s">
        <v>2051</v>
      </c>
      <c r="H30" s="614">
        <v>5</v>
      </c>
      <c r="I30" s="614">
        <v>4</v>
      </c>
      <c r="J30" s="329" t="s">
        <v>58</v>
      </c>
      <c r="K30" s="329"/>
      <c r="L30" s="316" t="s">
        <v>2097</v>
      </c>
      <c r="M30" s="612"/>
      <c r="N30" s="329">
        <v>5</v>
      </c>
      <c r="O30" s="329">
        <v>3</v>
      </c>
      <c r="P30" s="329" t="s">
        <v>58</v>
      </c>
      <c r="Q30" s="329" t="s">
        <v>58</v>
      </c>
      <c r="R30" s="329" t="s">
        <v>2098</v>
      </c>
      <c r="S30" s="329"/>
      <c r="T30" s="615"/>
      <c r="U30" s="616"/>
      <c r="V30" s="617" t="s">
        <v>2099</v>
      </c>
      <c r="W30" s="618">
        <v>50007</v>
      </c>
      <c r="X30" s="619">
        <v>0.8</v>
      </c>
      <c r="Y30" s="618">
        <v>40005.600000000006</v>
      </c>
      <c r="Z30" s="618">
        <v>50007</v>
      </c>
      <c r="AA30" s="619">
        <v>0.6</v>
      </c>
      <c r="AB30" s="618">
        <v>30004.199999999997</v>
      </c>
      <c r="AC30" s="618">
        <v>10001.400000000009</v>
      </c>
      <c r="AD30" s="620">
        <v>0.25000000000000017</v>
      </c>
      <c r="AE30" s="618" t="e">
        <v>#N/A</v>
      </c>
    </row>
    <row r="31" spans="1:31" ht="96.6" hidden="1">
      <c r="A31" s="611"/>
      <c r="B31" s="612" t="s">
        <v>2100</v>
      </c>
      <c r="C31" s="612" t="s">
        <v>2154</v>
      </c>
      <c r="D31" s="612"/>
      <c r="E31" s="613" t="s">
        <v>2101</v>
      </c>
      <c r="F31" s="330" t="s">
        <v>2102</v>
      </c>
      <c r="G31" s="612" t="s">
        <v>2103</v>
      </c>
      <c r="H31" s="614">
        <v>4</v>
      </c>
      <c r="I31" s="614">
        <v>3</v>
      </c>
      <c r="J31" s="329" t="s">
        <v>59</v>
      </c>
      <c r="K31" s="329"/>
      <c r="L31" s="316" t="s">
        <v>2104</v>
      </c>
      <c r="M31" s="612"/>
      <c r="N31" s="329">
        <v>4</v>
      </c>
      <c r="O31" s="329">
        <v>2</v>
      </c>
      <c r="P31" s="329" t="s">
        <v>59</v>
      </c>
      <c r="Q31" s="329" t="s">
        <v>58</v>
      </c>
      <c r="R31" s="329" t="s">
        <v>2105</v>
      </c>
      <c r="S31" s="329"/>
      <c r="T31" s="615"/>
      <c r="U31" s="616"/>
      <c r="V31" s="617" t="s">
        <v>2080</v>
      </c>
      <c r="W31" s="618">
        <v>50008</v>
      </c>
      <c r="X31" s="619">
        <v>0.6</v>
      </c>
      <c r="Y31" s="618">
        <v>30004.799999999999</v>
      </c>
      <c r="Z31" s="618">
        <v>50008</v>
      </c>
      <c r="AA31" s="619">
        <v>0.4</v>
      </c>
      <c r="AB31" s="618">
        <v>20003.2</v>
      </c>
      <c r="AC31" s="618">
        <v>10001.599999999999</v>
      </c>
      <c r="AD31" s="620">
        <v>0.33333333333333331</v>
      </c>
      <c r="AE31" s="618" t="e">
        <v>#N/A</v>
      </c>
    </row>
    <row r="32" spans="1:31" ht="207" hidden="1">
      <c r="A32" s="611" t="s">
        <v>2106</v>
      </c>
      <c r="B32" s="612" t="s">
        <v>2062</v>
      </c>
      <c r="C32" s="612" t="s">
        <v>2154</v>
      </c>
      <c r="D32" s="612"/>
      <c r="E32" s="613" t="s">
        <v>2107</v>
      </c>
      <c r="F32" s="330" t="s">
        <v>2108</v>
      </c>
      <c r="G32" s="612" t="s">
        <v>2109</v>
      </c>
      <c r="H32" s="614">
        <v>5</v>
      </c>
      <c r="I32" s="614">
        <v>4</v>
      </c>
      <c r="J32" s="329" t="s">
        <v>58</v>
      </c>
      <c r="K32" s="329"/>
      <c r="L32" s="316" t="s">
        <v>2110</v>
      </c>
      <c r="M32" s="612"/>
      <c r="N32" s="329">
        <v>4</v>
      </c>
      <c r="O32" s="329">
        <v>3</v>
      </c>
      <c r="P32" s="329" t="s">
        <v>59</v>
      </c>
      <c r="Q32" s="329" t="s">
        <v>59</v>
      </c>
      <c r="R32" s="329" t="s">
        <v>2111</v>
      </c>
      <c r="S32" s="329"/>
      <c r="T32" s="615"/>
      <c r="U32" s="616"/>
      <c r="V32" s="617" t="s">
        <v>2112</v>
      </c>
      <c r="W32" s="618">
        <v>50009</v>
      </c>
      <c r="X32" s="619">
        <v>0.8</v>
      </c>
      <c r="Y32" s="618">
        <v>40007.200000000004</v>
      </c>
      <c r="Z32" s="618">
        <v>50009</v>
      </c>
      <c r="AA32" s="619">
        <v>0.6</v>
      </c>
      <c r="AB32" s="618">
        <v>30005.399999999998</v>
      </c>
      <c r="AC32" s="618">
        <v>10001.800000000007</v>
      </c>
      <c r="AD32" s="620">
        <v>0.25000000000000011</v>
      </c>
      <c r="AE32" s="618" t="e">
        <v>#N/A</v>
      </c>
    </row>
    <row r="33" spans="1:31" ht="220.8" hidden="1">
      <c r="A33" s="611" t="s">
        <v>2113</v>
      </c>
      <c r="B33" s="612" t="s">
        <v>2062</v>
      </c>
      <c r="C33" s="612" t="s">
        <v>2157</v>
      </c>
      <c r="D33" s="612"/>
      <c r="E33" s="613" t="s">
        <v>2114</v>
      </c>
      <c r="F33" s="330" t="s">
        <v>2115</v>
      </c>
      <c r="G33" s="612" t="s">
        <v>2116</v>
      </c>
      <c r="H33" s="614">
        <v>4</v>
      </c>
      <c r="I33" s="614">
        <v>4</v>
      </c>
      <c r="J33" s="329" t="s">
        <v>58</v>
      </c>
      <c r="K33" s="329"/>
      <c r="L33" s="316" t="s">
        <v>2117</v>
      </c>
      <c r="M33" s="612"/>
      <c r="N33" s="329">
        <v>4</v>
      </c>
      <c r="O33" s="329">
        <v>3</v>
      </c>
      <c r="P33" s="329" t="s">
        <v>59</v>
      </c>
      <c r="Q33" s="329" t="s">
        <v>59</v>
      </c>
      <c r="R33" s="329"/>
      <c r="S33" s="329"/>
      <c r="T33" s="615"/>
      <c r="U33" s="616"/>
      <c r="V33" s="617" t="s">
        <v>2118</v>
      </c>
      <c r="W33" s="618">
        <v>50010</v>
      </c>
      <c r="X33" s="619">
        <v>0.8</v>
      </c>
      <c r="Y33" s="618">
        <v>40008</v>
      </c>
      <c r="Z33" s="618">
        <v>50010</v>
      </c>
      <c r="AA33" s="619">
        <v>0.6</v>
      </c>
      <c r="AB33" s="618">
        <v>30006</v>
      </c>
      <c r="AC33" s="618">
        <v>10002</v>
      </c>
      <c r="AD33" s="620">
        <v>0.25</v>
      </c>
      <c r="AE33" s="618" t="e">
        <v>#N/A</v>
      </c>
    </row>
    <row r="34" spans="1:31" ht="179.4" hidden="1">
      <c r="A34" s="611"/>
      <c r="B34" s="612" t="s">
        <v>2119</v>
      </c>
      <c r="C34" s="612" t="s">
        <v>2055</v>
      </c>
      <c r="D34" s="612"/>
      <c r="E34" s="613" t="s">
        <v>2120</v>
      </c>
      <c r="F34" s="330" t="s">
        <v>2121</v>
      </c>
      <c r="G34" s="612"/>
      <c r="H34" s="614">
        <v>4</v>
      </c>
      <c r="I34" s="614">
        <v>5</v>
      </c>
      <c r="J34" s="329" t="s">
        <v>58</v>
      </c>
      <c r="K34" s="329"/>
      <c r="L34" s="316" t="s">
        <v>2122</v>
      </c>
      <c r="M34" s="612"/>
      <c r="N34" s="329">
        <v>3</v>
      </c>
      <c r="O34" s="329">
        <v>4</v>
      </c>
      <c r="P34" s="329" t="s">
        <v>59</v>
      </c>
      <c r="Q34" s="329" t="s">
        <v>159</v>
      </c>
      <c r="R34" s="329" t="s">
        <v>2123</v>
      </c>
      <c r="S34" s="329"/>
      <c r="T34" s="615"/>
      <c r="U34" s="616"/>
      <c r="V34" s="617" t="s">
        <v>2094</v>
      </c>
      <c r="W34" s="618">
        <v>50011</v>
      </c>
      <c r="X34" s="619">
        <v>1</v>
      </c>
      <c r="Y34" s="618">
        <v>50011</v>
      </c>
      <c r="Z34" s="618">
        <v>50011</v>
      </c>
      <c r="AA34" s="619">
        <v>0.8</v>
      </c>
      <c r="AB34" s="618">
        <v>40008.800000000003</v>
      </c>
      <c r="AC34" s="618">
        <v>10002.199999999997</v>
      </c>
      <c r="AD34" s="620">
        <v>0.19999999999999996</v>
      </c>
      <c r="AE34" s="618" t="e">
        <v>#N/A</v>
      </c>
    </row>
    <row r="35" spans="1:31" ht="96.6" hidden="1">
      <c r="A35" s="611"/>
      <c r="B35" s="612" t="s">
        <v>2119</v>
      </c>
      <c r="C35" s="612" t="s">
        <v>2055</v>
      </c>
      <c r="D35" s="612"/>
      <c r="E35" s="613" t="s">
        <v>2124</v>
      </c>
      <c r="F35" s="330" t="s">
        <v>2125</v>
      </c>
      <c r="G35" s="612"/>
      <c r="H35" s="614">
        <v>4</v>
      </c>
      <c r="I35" s="614">
        <v>5</v>
      </c>
      <c r="J35" s="329" t="s">
        <v>58</v>
      </c>
      <c r="K35" s="329"/>
      <c r="L35" s="316" t="s">
        <v>2126</v>
      </c>
      <c r="M35" s="612"/>
      <c r="N35" s="329">
        <v>3</v>
      </c>
      <c r="O35" s="329">
        <v>4</v>
      </c>
      <c r="P35" s="329" t="s">
        <v>59</v>
      </c>
      <c r="Q35" s="329" t="s">
        <v>58</v>
      </c>
      <c r="R35" s="329" t="s">
        <v>2127</v>
      </c>
      <c r="S35" s="329"/>
      <c r="T35" s="615"/>
      <c r="U35" s="616"/>
      <c r="V35" s="617" t="s">
        <v>2094</v>
      </c>
      <c r="W35" s="618">
        <v>50012</v>
      </c>
      <c r="X35" s="619">
        <v>1</v>
      </c>
      <c r="Y35" s="618">
        <v>50012</v>
      </c>
      <c r="Z35" s="618">
        <v>50012</v>
      </c>
      <c r="AA35" s="619">
        <v>0.8</v>
      </c>
      <c r="AB35" s="618">
        <v>40009.600000000006</v>
      </c>
      <c r="AC35" s="618">
        <v>10002.399999999994</v>
      </c>
      <c r="AD35" s="620">
        <v>0.19999999999999987</v>
      </c>
      <c r="AE35" s="618" t="e">
        <v>#N/A</v>
      </c>
    </row>
    <row r="36" spans="1:31" ht="220.8" hidden="1">
      <c r="A36" s="611"/>
      <c r="B36" s="612" t="s">
        <v>2062</v>
      </c>
      <c r="C36" s="612" t="s">
        <v>2148</v>
      </c>
      <c r="D36" s="615"/>
      <c r="E36" s="613" t="s">
        <v>2128</v>
      </c>
      <c r="F36" s="330" t="s">
        <v>2129</v>
      </c>
      <c r="G36" s="612" t="s">
        <v>2130</v>
      </c>
      <c r="H36" s="614">
        <v>4</v>
      </c>
      <c r="I36" s="614">
        <v>3</v>
      </c>
      <c r="J36" s="329" t="s">
        <v>59</v>
      </c>
      <c r="K36" s="329"/>
      <c r="L36" s="316" t="s">
        <v>2131</v>
      </c>
      <c r="M36" s="612"/>
      <c r="N36" s="329">
        <v>3</v>
      </c>
      <c r="O36" s="329">
        <v>3</v>
      </c>
      <c r="P36" s="329" t="s">
        <v>59</v>
      </c>
      <c r="Q36" s="329" t="s">
        <v>58</v>
      </c>
      <c r="R36" s="329" t="s">
        <v>2132</v>
      </c>
      <c r="S36" s="329"/>
      <c r="T36" s="615"/>
      <c r="U36" s="616"/>
      <c r="V36" s="617" t="s">
        <v>2133</v>
      </c>
      <c r="W36" s="618">
        <v>50013</v>
      </c>
      <c r="X36" s="619">
        <v>0.6</v>
      </c>
      <c r="Y36" s="618">
        <v>30007.8</v>
      </c>
      <c r="Z36" s="618">
        <v>50013</v>
      </c>
      <c r="AA36" s="619">
        <v>0.6</v>
      </c>
      <c r="AB36" s="618">
        <v>30007.8</v>
      </c>
      <c r="AC36" s="618">
        <v>0</v>
      </c>
      <c r="AD36" s="620">
        <v>0</v>
      </c>
      <c r="AE36" s="618" t="e">
        <v>#N/A</v>
      </c>
    </row>
    <row r="37" spans="1:31" ht="138" hidden="1">
      <c r="A37" s="611"/>
      <c r="B37" s="612" t="s">
        <v>2119</v>
      </c>
      <c r="C37" s="612" t="s">
        <v>2148</v>
      </c>
      <c r="D37" s="612"/>
      <c r="E37" s="613" t="s">
        <v>2134</v>
      </c>
      <c r="F37" s="330" t="s">
        <v>2135</v>
      </c>
      <c r="G37" s="612" t="s">
        <v>2136</v>
      </c>
      <c r="H37" s="614">
        <v>4</v>
      </c>
      <c r="I37" s="614">
        <v>3</v>
      </c>
      <c r="J37" s="329" t="s">
        <v>59</v>
      </c>
      <c r="K37" s="329"/>
      <c r="L37" s="316" t="s">
        <v>2137</v>
      </c>
      <c r="M37" s="612"/>
      <c r="N37" s="329">
        <v>3</v>
      </c>
      <c r="O37" s="329">
        <v>3</v>
      </c>
      <c r="P37" s="329" t="s">
        <v>59</v>
      </c>
      <c r="Q37" s="329" t="s">
        <v>58</v>
      </c>
      <c r="R37" s="329" t="s">
        <v>2138</v>
      </c>
      <c r="S37" s="329"/>
      <c r="T37" s="615"/>
      <c r="U37" s="616"/>
      <c r="V37" s="617" t="s">
        <v>2094</v>
      </c>
      <c r="W37" s="618">
        <v>50014</v>
      </c>
      <c r="X37" s="619">
        <v>0.6</v>
      </c>
      <c r="Y37" s="618">
        <v>30008.399999999998</v>
      </c>
      <c r="Z37" s="618">
        <v>50014</v>
      </c>
      <c r="AA37" s="619">
        <v>0.6</v>
      </c>
      <c r="AB37" s="618">
        <v>30008.399999999998</v>
      </c>
      <c r="AC37" s="618">
        <v>0</v>
      </c>
      <c r="AD37" s="620">
        <v>0</v>
      </c>
      <c r="AE37" s="618" t="e">
        <v>#N/A</v>
      </c>
    </row>
    <row r="38" spans="1:31" ht="262.2" hidden="1">
      <c r="A38" s="611" t="s">
        <v>2048</v>
      </c>
      <c r="B38" s="612" t="s">
        <v>33</v>
      </c>
      <c r="C38" s="612" t="s">
        <v>2148</v>
      </c>
      <c r="D38" s="615">
        <v>46081</v>
      </c>
      <c r="E38" s="613" t="s">
        <v>2049</v>
      </c>
      <c r="F38" s="330" t="s">
        <v>2050</v>
      </c>
      <c r="G38" s="612" t="s">
        <v>2051</v>
      </c>
      <c r="H38" s="614">
        <v>5</v>
      </c>
      <c r="I38" s="614">
        <v>4</v>
      </c>
      <c r="J38" s="329" t="s">
        <v>58</v>
      </c>
      <c r="K38" s="329"/>
      <c r="L38" s="316" t="s">
        <v>2052</v>
      </c>
      <c r="M38" s="612"/>
      <c r="N38" s="329">
        <v>5</v>
      </c>
      <c r="O38" s="329">
        <v>3</v>
      </c>
      <c r="P38" s="329" t="s">
        <v>58</v>
      </c>
      <c r="Q38" s="329" t="s">
        <v>58</v>
      </c>
      <c r="R38" s="329" t="s">
        <v>2053</v>
      </c>
      <c r="S38" s="329"/>
      <c r="T38" s="615">
        <v>46079</v>
      </c>
      <c r="U38" s="616"/>
      <c r="V38" s="617" t="s">
        <v>29</v>
      </c>
      <c r="W38" s="618">
        <v>100000</v>
      </c>
      <c r="X38" s="619">
        <v>0.8</v>
      </c>
      <c r="Y38" s="618">
        <v>80000</v>
      </c>
      <c r="Z38" s="618">
        <v>50000</v>
      </c>
      <c r="AA38" s="619">
        <v>0.6</v>
      </c>
      <c r="AB38" s="618">
        <v>30000</v>
      </c>
      <c r="AC38" s="618">
        <v>50000</v>
      </c>
      <c r="AD38" s="620">
        <v>0.625</v>
      </c>
      <c r="AE38" s="618" t="e">
        <v>#N/A</v>
      </c>
    </row>
    <row r="39" spans="1:31" ht="248.4" hidden="1">
      <c r="A39" s="611" t="s">
        <v>2054</v>
      </c>
      <c r="B39" s="612" t="s">
        <v>56</v>
      </c>
      <c r="C39" s="612" t="s">
        <v>2055</v>
      </c>
      <c r="D39" s="612"/>
      <c r="E39" s="613" t="s">
        <v>2056</v>
      </c>
      <c r="F39" s="330" t="s">
        <v>2057</v>
      </c>
      <c r="G39" s="612" t="s">
        <v>2058</v>
      </c>
      <c r="H39" s="614">
        <v>4</v>
      </c>
      <c r="I39" s="614">
        <v>3</v>
      </c>
      <c r="J39" s="329" t="s">
        <v>59</v>
      </c>
      <c r="K39" s="329"/>
      <c r="L39" s="316" t="s">
        <v>2059</v>
      </c>
      <c r="M39" s="612"/>
      <c r="N39" s="329">
        <v>4</v>
      </c>
      <c r="O39" s="329">
        <v>2</v>
      </c>
      <c r="P39" s="329" t="s">
        <v>59</v>
      </c>
      <c r="Q39" s="329" t="s">
        <v>58</v>
      </c>
      <c r="R39" s="329" t="s">
        <v>2060</v>
      </c>
      <c r="S39" s="329"/>
      <c r="T39" s="615"/>
      <c r="U39" s="616"/>
      <c r="V39" s="617" t="s">
        <v>2061</v>
      </c>
      <c r="W39" s="618">
        <v>50001</v>
      </c>
      <c r="X39" s="619">
        <v>0.6</v>
      </c>
      <c r="Y39" s="618">
        <v>30000.6</v>
      </c>
      <c r="Z39" s="618">
        <v>50001</v>
      </c>
      <c r="AA39" s="619">
        <v>0.4</v>
      </c>
      <c r="AB39" s="618">
        <v>20000.400000000001</v>
      </c>
      <c r="AC39" s="618">
        <v>10000.199999999997</v>
      </c>
      <c r="AD39" s="620">
        <v>0.33333333333333326</v>
      </c>
      <c r="AE39" s="618" t="e">
        <v>#N/A</v>
      </c>
    </row>
    <row r="40" spans="1:31" ht="220.8" hidden="1">
      <c r="A40" s="611" t="s">
        <v>1265</v>
      </c>
      <c r="B40" s="612" t="s">
        <v>2062</v>
      </c>
      <c r="C40" s="612" t="s">
        <v>2151</v>
      </c>
      <c r="D40" s="612"/>
      <c r="E40" s="613" t="s">
        <v>2063</v>
      </c>
      <c r="F40" s="330" t="s">
        <v>2064</v>
      </c>
      <c r="G40" s="612" t="s">
        <v>2065</v>
      </c>
      <c r="H40" s="614">
        <v>4</v>
      </c>
      <c r="I40" s="614">
        <v>3</v>
      </c>
      <c r="J40" s="329" t="s">
        <v>59</v>
      </c>
      <c r="K40" s="329"/>
      <c r="L40" s="606" t="s">
        <v>2066</v>
      </c>
      <c r="M40" s="612"/>
      <c r="N40" s="329">
        <v>4</v>
      </c>
      <c r="O40" s="329">
        <v>2</v>
      </c>
      <c r="P40" s="329" t="s">
        <v>59</v>
      </c>
      <c r="Q40" s="329" t="s">
        <v>58</v>
      </c>
      <c r="R40" s="329" t="s">
        <v>2067</v>
      </c>
      <c r="S40" s="329"/>
      <c r="T40" s="615"/>
      <c r="U40" s="616"/>
      <c r="V40" s="617" t="s">
        <v>2068</v>
      </c>
      <c r="W40" s="618">
        <v>50002</v>
      </c>
      <c r="X40" s="619">
        <v>0.6</v>
      </c>
      <c r="Y40" s="618">
        <v>30001.199999999997</v>
      </c>
      <c r="Z40" s="618">
        <v>50002</v>
      </c>
      <c r="AA40" s="619">
        <v>0.4</v>
      </c>
      <c r="AB40" s="618">
        <v>20000.800000000003</v>
      </c>
      <c r="AC40" s="618">
        <v>10000.399999999994</v>
      </c>
      <c r="AD40" s="620">
        <v>0.33333333333333315</v>
      </c>
      <c r="AE40" s="618" t="e">
        <v>#N/A</v>
      </c>
    </row>
    <row r="41" spans="1:31" ht="262.2" hidden="1">
      <c r="A41" s="611" t="s">
        <v>2069</v>
      </c>
      <c r="B41" s="612" t="s">
        <v>2062</v>
      </c>
      <c r="C41" s="612" t="s">
        <v>2151</v>
      </c>
      <c r="D41" s="612"/>
      <c r="E41" s="613" t="s">
        <v>2070</v>
      </c>
      <c r="F41" s="330" t="s">
        <v>2071</v>
      </c>
      <c r="G41" s="612" t="s">
        <v>2065</v>
      </c>
      <c r="H41" s="614">
        <v>5</v>
      </c>
      <c r="I41" s="614">
        <v>4</v>
      </c>
      <c r="J41" s="329" t="s">
        <v>58</v>
      </c>
      <c r="K41" s="329"/>
      <c r="L41" s="316" t="s">
        <v>2072</v>
      </c>
      <c r="M41" s="612"/>
      <c r="N41" s="329">
        <v>5</v>
      </c>
      <c r="O41" s="329">
        <v>3</v>
      </c>
      <c r="P41" s="329" t="s">
        <v>58</v>
      </c>
      <c r="Q41" s="329" t="s">
        <v>58</v>
      </c>
      <c r="R41" s="329" t="s">
        <v>2073</v>
      </c>
      <c r="S41" s="329"/>
      <c r="T41" s="615"/>
      <c r="U41" s="616"/>
      <c r="V41" s="617" t="s">
        <v>2074</v>
      </c>
      <c r="W41" s="618">
        <v>50003</v>
      </c>
      <c r="X41" s="619">
        <v>0.8</v>
      </c>
      <c r="Y41" s="618">
        <v>40002.400000000001</v>
      </c>
      <c r="Z41" s="618">
        <v>50003</v>
      </c>
      <c r="AA41" s="619">
        <v>0.6</v>
      </c>
      <c r="AB41" s="618">
        <v>30001.8</v>
      </c>
      <c r="AC41" s="618">
        <v>10000.600000000002</v>
      </c>
      <c r="AD41" s="620">
        <v>0.25000000000000006</v>
      </c>
      <c r="AE41" s="618" t="e">
        <v>#N/A</v>
      </c>
    </row>
    <row r="42" spans="1:31" ht="220.8" hidden="1">
      <c r="A42" s="611" t="s">
        <v>1266</v>
      </c>
      <c r="B42" s="612" t="s">
        <v>2062</v>
      </c>
      <c r="C42" s="612" t="s">
        <v>2154</v>
      </c>
      <c r="D42" s="612"/>
      <c r="E42" s="613" t="s">
        <v>2075</v>
      </c>
      <c r="F42" s="330" t="s">
        <v>2076</v>
      </c>
      <c r="G42" s="612" t="s">
        <v>2077</v>
      </c>
      <c r="H42" s="614">
        <v>4</v>
      </c>
      <c r="I42" s="614">
        <v>3</v>
      </c>
      <c r="J42" s="329" t="s">
        <v>59</v>
      </c>
      <c r="K42" s="329"/>
      <c r="L42" s="316" t="s">
        <v>2078</v>
      </c>
      <c r="M42" s="612"/>
      <c r="N42" s="329">
        <v>3</v>
      </c>
      <c r="O42" s="329">
        <v>3</v>
      </c>
      <c r="P42" s="329" t="s">
        <v>59</v>
      </c>
      <c r="Q42" s="329" t="s">
        <v>58</v>
      </c>
      <c r="R42" s="329" t="s">
        <v>2079</v>
      </c>
      <c r="S42" s="329"/>
      <c r="T42" s="615"/>
      <c r="U42" s="616"/>
      <c r="V42" s="617" t="s">
        <v>2080</v>
      </c>
      <c r="W42" s="618">
        <v>50004</v>
      </c>
      <c r="X42" s="619">
        <v>0.6</v>
      </c>
      <c r="Y42" s="618">
        <v>30002.399999999998</v>
      </c>
      <c r="Z42" s="618">
        <v>50004</v>
      </c>
      <c r="AA42" s="619">
        <v>0.6</v>
      </c>
      <c r="AB42" s="618">
        <v>30002.399999999998</v>
      </c>
      <c r="AC42" s="618">
        <v>0</v>
      </c>
      <c r="AD42" s="620">
        <v>0</v>
      </c>
      <c r="AE42" s="618" t="e">
        <v>#N/A</v>
      </c>
    </row>
    <row r="43" spans="1:31" ht="165.6" hidden="1">
      <c r="A43" s="611" t="s">
        <v>2081</v>
      </c>
      <c r="B43" s="612" t="s">
        <v>2062</v>
      </c>
      <c r="C43" s="612" t="s">
        <v>2154</v>
      </c>
      <c r="D43" s="612"/>
      <c r="E43" s="613" t="s">
        <v>2082</v>
      </c>
      <c r="F43" s="330" t="s">
        <v>2083</v>
      </c>
      <c r="G43" s="612" t="s">
        <v>2084</v>
      </c>
      <c r="H43" s="614">
        <v>5</v>
      </c>
      <c r="I43" s="614">
        <v>3</v>
      </c>
      <c r="J43" s="329" t="s">
        <v>58</v>
      </c>
      <c r="K43" s="329"/>
      <c r="L43" s="606" t="s">
        <v>2085</v>
      </c>
      <c r="M43" s="612"/>
      <c r="N43" s="329">
        <v>5</v>
      </c>
      <c r="O43" s="329">
        <v>2</v>
      </c>
      <c r="P43" s="329" t="s">
        <v>59</v>
      </c>
      <c r="Q43" s="329" t="s">
        <v>58</v>
      </c>
      <c r="R43" s="329" t="s">
        <v>2086</v>
      </c>
      <c r="S43" s="329"/>
      <c r="T43" s="615"/>
      <c r="U43" s="616"/>
      <c r="V43" s="617" t="s">
        <v>2087</v>
      </c>
      <c r="W43" s="618">
        <v>50005</v>
      </c>
      <c r="X43" s="619">
        <v>0.6</v>
      </c>
      <c r="Y43" s="618">
        <v>30003</v>
      </c>
      <c r="Z43" s="618">
        <v>50005</v>
      </c>
      <c r="AA43" s="619">
        <v>0.4</v>
      </c>
      <c r="AB43" s="618">
        <v>20002</v>
      </c>
      <c r="AC43" s="618">
        <v>10001</v>
      </c>
      <c r="AD43" s="620">
        <v>0.33333333333333331</v>
      </c>
      <c r="AE43" s="618" t="e">
        <v>#N/A</v>
      </c>
    </row>
    <row r="44" spans="1:31" ht="276" hidden="1">
      <c r="A44" s="611" t="s">
        <v>2088</v>
      </c>
      <c r="B44" s="612" t="s">
        <v>2062</v>
      </c>
      <c r="C44" s="612" t="s">
        <v>2154</v>
      </c>
      <c r="D44" s="612"/>
      <c r="E44" s="613" t="s">
        <v>2089</v>
      </c>
      <c r="F44" s="330" t="s">
        <v>2090</v>
      </c>
      <c r="G44" s="612" t="s">
        <v>2091</v>
      </c>
      <c r="H44" s="614">
        <v>5</v>
      </c>
      <c r="I44" s="614">
        <v>5</v>
      </c>
      <c r="J44" s="329" t="s">
        <v>58</v>
      </c>
      <c r="K44" s="329"/>
      <c r="L44" s="316" t="s">
        <v>2092</v>
      </c>
      <c r="M44" s="612"/>
      <c r="N44" s="329">
        <v>4</v>
      </c>
      <c r="O44" s="329">
        <v>5</v>
      </c>
      <c r="P44" s="329" t="s">
        <v>58</v>
      </c>
      <c r="Q44" s="329" t="s">
        <v>58</v>
      </c>
      <c r="R44" s="329" t="s">
        <v>2093</v>
      </c>
      <c r="S44" s="329"/>
      <c r="T44" s="615"/>
      <c r="U44" s="616"/>
      <c r="V44" s="617" t="s">
        <v>2094</v>
      </c>
      <c r="W44" s="618">
        <v>50006</v>
      </c>
      <c r="X44" s="619">
        <v>1</v>
      </c>
      <c r="Y44" s="618">
        <v>50006</v>
      </c>
      <c r="Z44" s="618">
        <v>50006</v>
      </c>
      <c r="AA44" s="619">
        <v>1</v>
      </c>
      <c r="AB44" s="618">
        <v>50006</v>
      </c>
      <c r="AC44" s="618">
        <v>0</v>
      </c>
      <c r="AD44" s="620">
        <v>0</v>
      </c>
      <c r="AE44" s="618" t="e">
        <v>#N/A</v>
      </c>
    </row>
    <row r="45" spans="1:31" ht="207" hidden="1">
      <c r="A45" s="611"/>
      <c r="B45" s="612" t="s">
        <v>2062</v>
      </c>
      <c r="C45" s="612" t="s">
        <v>2154</v>
      </c>
      <c r="D45" s="612"/>
      <c r="E45" s="613" t="s">
        <v>2095</v>
      </c>
      <c r="F45" s="330" t="s">
        <v>2096</v>
      </c>
      <c r="G45" s="612" t="s">
        <v>2051</v>
      </c>
      <c r="H45" s="614">
        <v>5</v>
      </c>
      <c r="I45" s="614">
        <v>4</v>
      </c>
      <c r="J45" s="329" t="s">
        <v>58</v>
      </c>
      <c r="K45" s="329"/>
      <c r="L45" s="316" t="s">
        <v>2097</v>
      </c>
      <c r="M45" s="612"/>
      <c r="N45" s="329">
        <v>5</v>
      </c>
      <c r="O45" s="329">
        <v>3</v>
      </c>
      <c r="P45" s="329" t="s">
        <v>58</v>
      </c>
      <c r="Q45" s="329" t="s">
        <v>58</v>
      </c>
      <c r="R45" s="329" t="s">
        <v>2098</v>
      </c>
      <c r="S45" s="329"/>
      <c r="T45" s="615"/>
      <c r="U45" s="616"/>
      <c r="V45" s="617" t="s">
        <v>2099</v>
      </c>
      <c r="W45" s="618">
        <v>50007</v>
      </c>
      <c r="X45" s="619">
        <v>0.8</v>
      </c>
      <c r="Y45" s="618">
        <v>40005.600000000006</v>
      </c>
      <c r="Z45" s="618">
        <v>50007</v>
      </c>
      <c r="AA45" s="619">
        <v>0.6</v>
      </c>
      <c r="AB45" s="618">
        <v>30004.199999999997</v>
      </c>
      <c r="AC45" s="618">
        <v>10001.400000000009</v>
      </c>
      <c r="AD45" s="620">
        <v>0.25000000000000017</v>
      </c>
      <c r="AE45" s="618" t="e">
        <v>#N/A</v>
      </c>
    </row>
    <row r="46" spans="1:31" ht="96.6" hidden="1">
      <c r="A46" s="611"/>
      <c r="B46" s="612" t="s">
        <v>2100</v>
      </c>
      <c r="C46" s="612" t="s">
        <v>2157</v>
      </c>
      <c r="D46" s="612"/>
      <c r="E46" s="613" t="s">
        <v>2101</v>
      </c>
      <c r="F46" s="330" t="s">
        <v>2102</v>
      </c>
      <c r="G46" s="612" t="s">
        <v>2103</v>
      </c>
      <c r="H46" s="614">
        <v>4</v>
      </c>
      <c r="I46" s="614">
        <v>3</v>
      </c>
      <c r="J46" s="329" t="s">
        <v>59</v>
      </c>
      <c r="K46" s="329"/>
      <c r="L46" s="316" t="s">
        <v>2104</v>
      </c>
      <c r="M46" s="612"/>
      <c r="N46" s="329">
        <v>4</v>
      </c>
      <c r="O46" s="329">
        <v>2</v>
      </c>
      <c r="P46" s="329" t="s">
        <v>59</v>
      </c>
      <c r="Q46" s="329" t="s">
        <v>58</v>
      </c>
      <c r="R46" s="329" t="s">
        <v>2105</v>
      </c>
      <c r="S46" s="329"/>
      <c r="T46" s="615"/>
      <c r="U46" s="616"/>
      <c r="V46" s="617" t="s">
        <v>2080</v>
      </c>
      <c r="W46" s="618">
        <v>50008</v>
      </c>
      <c r="X46" s="619">
        <v>0.6</v>
      </c>
      <c r="Y46" s="618">
        <v>30004.799999999999</v>
      </c>
      <c r="Z46" s="618">
        <v>50008</v>
      </c>
      <c r="AA46" s="619">
        <v>0.4</v>
      </c>
      <c r="AB46" s="618">
        <v>20003.2</v>
      </c>
      <c r="AC46" s="618">
        <v>10001.599999999999</v>
      </c>
      <c r="AD46" s="620">
        <v>0.33333333333333331</v>
      </c>
      <c r="AE46" s="618" t="e">
        <v>#N/A</v>
      </c>
    </row>
    <row r="47" spans="1:31" ht="207" hidden="1">
      <c r="A47" s="611" t="s">
        <v>2106</v>
      </c>
      <c r="B47" s="612" t="s">
        <v>2062</v>
      </c>
      <c r="C47" s="612" t="s">
        <v>2157</v>
      </c>
      <c r="D47" s="612"/>
      <c r="E47" s="613" t="s">
        <v>2107</v>
      </c>
      <c r="F47" s="330" t="s">
        <v>2108</v>
      </c>
      <c r="G47" s="612" t="s">
        <v>2109</v>
      </c>
      <c r="H47" s="614">
        <v>5</v>
      </c>
      <c r="I47" s="614">
        <v>4</v>
      </c>
      <c r="J47" s="329" t="s">
        <v>58</v>
      </c>
      <c r="K47" s="329"/>
      <c r="L47" s="316" t="s">
        <v>2110</v>
      </c>
      <c r="M47" s="612"/>
      <c r="N47" s="329">
        <v>4</v>
      </c>
      <c r="O47" s="329">
        <v>3</v>
      </c>
      <c r="P47" s="329" t="s">
        <v>59</v>
      </c>
      <c r="Q47" s="329" t="s">
        <v>59</v>
      </c>
      <c r="R47" s="329" t="s">
        <v>2111</v>
      </c>
      <c r="S47" s="329"/>
      <c r="T47" s="615"/>
      <c r="U47" s="616"/>
      <c r="V47" s="617" t="s">
        <v>2112</v>
      </c>
      <c r="W47" s="618">
        <v>50009</v>
      </c>
      <c r="X47" s="619">
        <v>0.8</v>
      </c>
      <c r="Y47" s="618">
        <v>40007.200000000004</v>
      </c>
      <c r="Z47" s="618">
        <v>50009</v>
      </c>
      <c r="AA47" s="619">
        <v>0.6</v>
      </c>
      <c r="AB47" s="618">
        <v>30005.399999999998</v>
      </c>
      <c r="AC47" s="618">
        <v>10001.800000000007</v>
      </c>
      <c r="AD47" s="620">
        <v>0.25000000000000011</v>
      </c>
      <c r="AE47" s="618" t="e">
        <v>#N/A</v>
      </c>
    </row>
    <row r="48" spans="1:31" ht="220.8" hidden="1">
      <c r="A48" s="611" t="s">
        <v>2113</v>
      </c>
      <c r="B48" s="612" t="s">
        <v>2062</v>
      </c>
      <c r="C48" s="612" t="s">
        <v>2157</v>
      </c>
      <c r="D48" s="612"/>
      <c r="E48" s="613" t="s">
        <v>2114</v>
      </c>
      <c r="F48" s="330" t="s">
        <v>2115</v>
      </c>
      <c r="G48" s="612" t="s">
        <v>2116</v>
      </c>
      <c r="H48" s="614">
        <v>4</v>
      </c>
      <c r="I48" s="614">
        <v>4</v>
      </c>
      <c r="J48" s="329" t="s">
        <v>58</v>
      </c>
      <c r="K48" s="329"/>
      <c r="L48" s="316" t="s">
        <v>2117</v>
      </c>
      <c r="M48" s="612"/>
      <c r="N48" s="329">
        <v>4</v>
      </c>
      <c r="O48" s="329">
        <v>3</v>
      </c>
      <c r="P48" s="329" t="s">
        <v>59</v>
      </c>
      <c r="Q48" s="329" t="s">
        <v>59</v>
      </c>
      <c r="R48" s="329"/>
      <c r="S48" s="329"/>
      <c r="T48" s="615"/>
      <c r="U48" s="616"/>
      <c r="V48" s="617" t="s">
        <v>2118</v>
      </c>
      <c r="W48" s="618">
        <v>50010</v>
      </c>
      <c r="X48" s="619">
        <v>0.8</v>
      </c>
      <c r="Y48" s="618">
        <v>40008</v>
      </c>
      <c r="Z48" s="618">
        <v>50010</v>
      </c>
      <c r="AA48" s="619">
        <v>0.6</v>
      </c>
      <c r="AB48" s="618">
        <v>30006</v>
      </c>
      <c r="AC48" s="618">
        <v>10002</v>
      </c>
      <c r="AD48" s="620">
        <v>0.25</v>
      </c>
      <c r="AE48" s="618" t="e">
        <v>#N/A</v>
      </c>
    </row>
    <row r="49" spans="1:31" ht="179.4" hidden="1">
      <c r="A49" s="611"/>
      <c r="B49" s="612" t="s">
        <v>2119</v>
      </c>
      <c r="C49" s="612" t="s">
        <v>2055</v>
      </c>
      <c r="D49" s="612"/>
      <c r="E49" s="613" t="s">
        <v>2120</v>
      </c>
      <c r="F49" s="330" t="s">
        <v>2121</v>
      </c>
      <c r="G49" s="612"/>
      <c r="H49" s="614">
        <v>4</v>
      </c>
      <c r="I49" s="614">
        <v>5</v>
      </c>
      <c r="J49" s="329" t="s">
        <v>58</v>
      </c>
      <c r="K49" s="329"/>
      <c r="L49" s="316" t="s">
        <v>2122</v>
      </c>
      <c r="M49" s="612"/>
      <c r="N49" s="329">
        <v>3</v>
      </c>
      <c r="O49" s="329">
        <v>4</v>
      </c>
      <c r="P49" s="329" t="s">
        <v>59</v>
      </c>
      <c r="Q49" s="329" t="s">
        <v>159</v>
      </c>
      <c r="R49" s="329" t="s">
        <v>2123</v>
      </c>
      <c r="S49" s="329"/>
      <c r="T49" s="615"/>
      <c r="U49" s="616"/>
      <c r="V49" s="617" t="s">
        <v>2094</v>
      </c>
      <c r="W49" s="618">
        <v>50011</v>
      </c>
      <c r="X49" s="619">
        <v>1</v>
      </c>
      <c r="Y49" s="618">
        <v>50011</v>
      </c>
      <c r="Z49" s="618">
        <v>50011</v>
      </c>
      <c r="AA49" s="619">
        <v>0.8</v>
      </c>
      <c r="AB49" s="618">
        <v>40008.800000000003</v>
      </c>
      <c r="AC49" s="618">
        <v>10002.199999999997</v>
      </c>
      <c r="AD49" s="620">
        <v>0.19999999999999996</v>
      </c>
      <c r="AE49" s="618" t="e">
        <v>#N/A</v>
      </c>
    </row>
    <row r="50" spans="1:31" ht="96.6" hidden="1">
      <c r="A50" s="611"/>
      <c r="B50" s="612" t="s">
        <v>2119</v>
      </c>
      <c r="C50" s="612" t="s">
        <v>2055</v>
      </c>
      <c r="D50" s="615"/>
      <c r="E50" s="613" t="s">
        <v>2124</v>
      </c>
      <c r="F50" s="330" t="s">
        <v>2125</v>
      </c>
      <c r="G50" s="612"/>
      <c r="H50" s="614">
        <v>4</v>
      </c>
      <c r="I50" s="614">
        <v>5</v>
      </c>
      <c r="J50" s="329" t="s">
        <v>58</v>
      </c>
      <c r="K50" s="329"/>
      <c r="L50" s="316" t="s">
        <v>2126</v>
      </c>
      <c r="M50" s="612"/>
      <c r="N50" s="329">
        <v>3</v>
      </c>
      <c r="O50" s="329">
        <v>4</v>
      </c>
      <c r="P50" s="329" t="s">
        <v>59</v>
      </c>
      <c r="Q50" s="329" t="s">
        <v>58</v>
      </c>
      <c r="R50" s="329" t="s">
        <v>2127</v>
      </c>
      <c r="S50" s="329"/>
      <c r="T50" s="615"/>
      <c r="U50" s="616"/>
      <c r="V50" s="617" t="s">
        <v>2094</v>
      </c>
      <c r="W50" s="618">
        <v>50012</v>
      </c>
      <c r="X50" s="619">
        <v>1</v>
      </c>
      <c r="Y50" s="618">
        <v>50012</v>
      </c>
      <c r="Z50" s="618">
        <v>50012</v>
      </c>
      <c r="AA50" s="619">
        <v>0.8</v>
      </c>
      <c r="AB50" s="618">
        <v>40009.600000000006</v>
      </c>
      <c r="AC50" s="618">
        <v>10002.399999999994</v>
      </c>
      <c r="AD50" s="620">
        <v>0.19999999999999987</v>
      </c>
      <c r="AE50" s="618" t="e">
        <v>#N/A</v>
      </c>
    </row>
    <row r="51" spans="1:31" ht="220.8" hidden="1">
      <c r="A51" s="611"/>
      <c r="B51" s="612" t="s">
        <v>2062</v>
      </c>
      <c r="C51" s="612" t="s">
        <v>2157</v>
      </c>
      <c r="D51" s="612"/>
      <c r="E51" s="613" t="s">
        <v>2128</v>
      </c>
      <c r="F51" s="330" t="s">
        <v>2129</v>
      </c>
      <c r="G51" s="612" t="s">
        <v>2130</v>
      </c>
      <c r="H51" s="614">
        <v>4</v>
      </c>
      <c r="I51" s="614">
        <v>3</v>
      </c>
      <c r="J51" s="329" t="s">
        <v>59</v>
      </c>
      <c r="K51" s="329"/>
      <c r="L51" s="316" t="s">
        <v>2131</v>
      </c>
      <c r="M51" s="612"/>
      <c r="N51" s="329">
        <v>3</v>
      </c>
      <c r="O51" s="329">
        <v>3</v>
      </c>
      <c r="P51" s="329" t="s">
        <v>59</v>
      </c>
      <c r="Q51" s="329" t="s">
        <v>58</v>
      </c>
      <c r="R51" s="329" t="s">
        <v>2132</v>
      </c>
      <c r="S51" s="329"/>
      <c r="T51" s="615"/>
      <c r="U51" s="616"/>
      <c r="V51" s="617" t="s">
        <v>2133</v>
      </c>
      <c r="W51" s="618">
        <v>50013</v>
      </c>
      <c r="X51" s="619">
        <v>0.6</v>
      </c>
      <c r="Y51" s="618">
        <v>30007.8</v>
      </c>
      <c r="Z51" s="618">
        <v>50013</v>
      </c>
      <c r="AA51" s="619">
        <v>0.6</v>
      </c>
      <c r="AB51" s="618">
        <v>30007.8</v>
      </c>
      <c r="AC51" s="618">
        <v>0</v>
      </c>
      <c r="AD51" s="620">
        <v>0</v>
      </c>
      <c r="AE51" s="618" t="e">
        <v>#N/A</v>
      </c>
    </row>
    <row r="52" spans="1:31" ht="138" hidden="1">
      <c r="A52" s="611"/>
      <c r="B52" s="612" t="s">
        <v>2119</v>
      </c>
      <c r="C52" s="612" t="s">
        <v>2157</v>
      </c>
      <c r="D52" s="612"/>
      <c r="E52" s="613" t="s">
        <v>2134</v>
      </c>
      <c r="F52" s="330" t="s">
        <v>2135</v>
      </c>
      <c r="G52" s="612" t="s">
        <v>2136</v>
      </c>
      <c r="H52" s="614">
        <v>4</v>
      </c>
      <c r="I52" s="614">
        <v>3</v>
      </c>
      <c r="J52" s="329" t="s">
        <v>59</v>
      </c>
      <c r="K52" s="329"/>
      <c r="L52" s="316" t="s">
        <v>2137</v>
      </c>
      <c r="M52" s="612"/>
      <c r="N52" s="329">
        <v>3</v>
      </c>
      <c r="O52" s="329">
        <v>3</v>
      </c>
      <c r="P52" s="329" t="s">
        <v>59</v>
      </c>
      <c r="Q52" s="329" t="s">
        <v>58</v>
      </c>
      <c r="R52" s="329" t="s">
        <v>2138</v>
      </c>
      <c r="S52" s="329"/>
      <c r="T52" s="615"/>
      <c r="U52" s="616"/>
      <c r="V52" s="617" t="s">
        <v>2094</v>
      </c>
      <c r="W52" s="618">
        <v>50014</v>
      </c>
      <c r="X52" s="619">
        <v>0.6</v>
      </c>
      <c r="Y52" s="618">
        <v>30008.399999999998</v>
      </c>
      <c r="Z52" s="618">
        <v>50014</v>
      </c>
      <c r="AA52" s="619">
        <v>0.6</v>
      </c>
      <c r="AB52" s="618">
        <v>30008.399999999998</v>
      </c>
      <c r="AC52" s="618">
        <v>0</v>
      </c>
      <c r="AD52" s="620">
        <v>0</v>
      </c>
      <c r="AE52" s="618" t="e">
        <v>#N/A</v>
      </c>
    </row>
    <row r="53" spans="1:31" ht="262.2" hidden="1">
      <c r="A53" s="611" t="s">
        <v>2048</v>
      </c>
      <c r="B53" s="612" t="s">
        <v>33</v>
      </c>
      <c r="C53" s="612" t="s">
        <v>2161</v>
      </c>
      <c r="D53" s="615">
        <v>46081</v>
      </c>
      <c r="E53" s="613" t="s">
        <v>2049</v>
      </c>
      <c r="F53" s="330" t="s">
        <v>2050</v>
      </c>
      <c r="G53" s="612" t="s">
        <v>2051</v>
      </c>
      <c r="H53" s="614">
        <v>5</v>
      </c>
      <c r="I53" s="614">
        <v>4</v>
      </c>
      <c r="J53" s="329" t="s">
        <v>58</v>
      </c>
      <c r="K53" s="329"/>
      <c r="L53" s="316" t="s">
        <v>2052</v>
      </c>
      <c r="M53" s="612"/>
      <c r="N53" s="329">
        <v>5</v>
      </c>
      <c r="O53" s="329">
        <v>3</v>
      </c>
      <c r="P53" s="329" t="s">
        <v>58</v>
      </c>
      <c r="Q53" s="329" t="s">
        <v>58</v>
      </c>
      <c r="R53" s="329" t="s">
        <v>2053</v>
      </c>
      <c r="S53" s="329"/>
      <c r="T53" s="615">
        <v>46079</v>
      </c>
      <c r="U53" s="616"/>
      <c r="V53" s="617" t="s">
        <v>29</v>
      </c>
      <c r="W53" s="618">
        <v>100000</v>
      </c>
      <c r="X53" s="619">
        <v>0.8</v>
      </c>
      <c r="Y53" s="618">
        <v>80000</v>
      </c>
      <c r="Z53" s="618">
        <v>50000</v>
      </c>
      <c r="AA53" s="619">
        <v>0.6</v>
      </c>
      <c r="AB53" s="618">
        <v>30000</v>
      </c>
      <c r="AC53" s="618">
        <v>50000</v>
      </c>
      <c r="AD53" s="620">
        <v>0.625</v>
      </c>
      <c r="AE53" s="618" t="e">
        <v>#N/A</v>
      </c>
    </row>
    <row r="54" spans="1:31" ht="248.4" hidden="1">
      <c r="A54" s="611" t="s">
        <v>2054</v>
      </c>
      <c r="B54" s="612" t="s">
        <v>56</v>
      </c>
      <c r="C54" s="612" t="s">
        <v>2055</v>
      </c>
      <c r="D54" s="612"/>
      <c r="E54" s="613" t="s">
        <v>2056</v>
      </c>
      <c r="F54" s="330" t="s">
        <v>2057</v>
      </c>
      <c r="G54" s="612" t="s">
        <v>2058</v>
      </c>
      <c r="H54" s="614">
        <v>4</v>
      </c>
      <c r="I54" s="614">
        <v>3</v>
      </c>
      <c r="J54" s="329" t="s">
        <v>59</v>
      </c>
      <c r="K54" s="329"/>
      <c r="L54" s="606" t="s">
        <v>2059</v>
      </c>
      <c r="M54" s="612"/>
      <c r="N54" s="329">
        <v>4</v>
      </c>
      <c r="O54" s="329">
        <v>2</v>
      </c>
      <c r="P54" s="329" t="s">
        <v>59</v>
      </c>
      <c r="Q54" s="329" t="s">
        <v>58</v>
      </c>
      <c r="R54" s="329" t="s">
        <v>2060</v>
      </c>
      <c r="S54" s="329"/>
      <c r="T54" s="615"/>
      <c r="U54" s="616"/>
      <c r="V54" s="617" t="s">
        <v>2061</v>
      </c>
      <c r="W54" s="618">
        <v>50001</v>
      </c>
      <c r="X54" s="619">
        <v>0.6</v>
      </c>
      <c r="Y54" s="618">
        <v>30000.6</v>
      </c>
      <c r="Z54" s="618">
        <v>50001</v>
      </c>
      <c r="AA54" s="619">
        <v>0.4</v>
      </c>
      <c r="AB54" s="618">
        <v>20000.400000000001</v>
      </c>
      <c r="AC54" s="618">
        <v>10000.199999999997</v>
      </c>
      <c r="AD54" s="620">
        <v>0.33333333333333326</v>
      </c>
      <c r="AE54" s="618" t="e">
        <v>#N/A</v>
      </c>
    </row>
    <row r="55" spans="1:31" ht="220.8" hidden="1">
      <c r="A55" s="611" t="s">
        <v>1265</v>
      </c>
      <c r="B55" s="612" t="s">
        <v>2062</v>
      </c>
      <c r="C55" s="612" t="s">
        <v>2161</v>
      </c>
      <c r="D55" s="612"/>
      <c r="E55" s="613" t="s">
        <v>2063</v>
      </c>
      <c r="F55" s="330" t="s">
        <v>2064</v>
      </c>
      <c r="G55" s="612" t="s">
        <v>2065</v>
      </c>
      <c r="H55" s="614">
        <v>4</v>
      </c>
      <c r="I55" s="614">
        <v>3</v>
      </c>
      <c r="J55" s="329" t="s">
        <v>59</v>
      </c>
      <c r="K55" s="329"/>
      <c r="L55" s="316" t="s">
        <v>2066</v>
      </c>
      <c r="M55" s="612"/>
      <c r="N55" s="329">
        <v>4</v>
      </c>
      <c r="O55" s="329">
        <v>2</v>
      </c>
      <c r="P55" s="329" t="s">
        <v>59</v>
      </c>
      <c r="Q55" s="329" t="s">
        <v>58</v>
      </c>
      <c r="R55" s="329" t="s">
        <v>2067</v>
      </c>
      <c r="S55" s="329"/>
      <c r="T55" s="615"/>
      <c r="U55" s="616"/>
      <c r="V55" s="617" t="s">
        <v>2068</v>
      </c>
      <c r="W55" s="618">
        <v>50002</v>
      </c>
      <c r="X55" s="619">
        <v>0.6</v>
      </c>
      <c r="Y55" s="618">
        <v>30001.199999999997</v>
      </c>
      <c r="Z55" s="618">
        <v>50002</v>
      </c>
      <c r="AA55" s="619">
        <v>0.4</v>
      </c>
      <c r="AB55" s="618">
        <v>20000.800000000003</v>
      </c>
      <c r="AC55" s="618">
        <v>10000.399999999994</v>
      </c>
      <c r="AD55" s="620">
        <v>0.33333333333333315</v>
      </c>
      <c r="AE55" s="618" t="e">
        <v>#N/A</v>
      </c>
    </row>
    <row r="56" spans="1:31" ht="262.2" hidden="1">
      <c r="A56" s="611" t="s">
        <v>2069</v>
      </c>
      <c r="B56" s="612" t="s">
        <v>2062</v>
      </c>
      <c r="C56" s="612" t="s">
        <v>2161</v>
      </c>
      <c r="D56" s="612"/>
      <c r="E56" s="613" t="s">
        <v>2070</v>
      </c>
      <c r="F56" s="330" t="s">
        <v>2071</v>
      </c>
      <c r="G56" s="612" t="s">
        <v>2065</v>
      </c>
      <c r="H56" s="614">
        <v>5</v>
      </c>
      <c r="I56" s="614">
        <v>4</v>
      </c>
      <c r="J56" s="329" t="s">
        <v>58</v>
      </c>
      <c r="K56" s="329"/>
      <c r="L56" s="316" t="s">
        <v>2072</v>
      </c>
      <c r="M56" s="612"/>
      <c r="N56" s="329">
        <v>5</v>
      </c>
      <c r="O56" s="329">
        <v>3</v>
      </c>
      <c r="P56" s="329" t="s">
        <v>58</v>
      </c>
      <c r="Q56" s="329" t="s">
        <v>58</v>
      </c>
      <c r="R56" s="329" t="s">
        <v>2073</v>
      </c>
      <c r="S56" s="329"/>
      <c r="T56" s="615"/>
      <c r="U56" s="616"/>
      <c r="V56" s="617" t="s">
        <v>2074</v>
      </c>
      <c r="W56" s="618">
        <v>50003</v>
      </c>
      <c r="X56" s="619">
        <v>0.8</v>
      </c>
      <c r="Y56" s="618">
        <v>40002.400000000001</v>
      </c>
      <c r="Z56" s="618">
        <v>50003</v>
      </c>
      <c r="AA56" s="619">
        <v>0.6</v>
      </c>
      <c r="AB56" s="618">
        <v>30001.8</v>
      </c>
      <c r="AC56" s="618">
        <v>10000.600000000002</v>
      </c>
      <c r="AD56" s="620">
        <v>0.25000000000000006</v>
      </c>
      <c r="AE56" s="618" t="e">
        <v>#N/A</v>
      </c>
    </row>
    <row r="57" spans="1:31" ht="220.8" hidden="1">
      <c r="A57" s="611" t="s">
        <v>1266</v>
      </c>
      <c r="B57" s="612" t="s">
        <v>2062</v>
      </c>
      <c r="C57" s="612" t="s">
        <v>2154</v>
      </c>
      <c r="D57" s="612"/>
      <c r="E57" s="613" t="s">
        <v>2075</v>
      </c>
      <c r="F57" s="330" t="s">
        <v>2076</v>
      </c>
      <c r="G57" s="612" t="s">
        <v>2077</v>
      </c>
      <c r="H57" s="614">
        <v>4</v>
      </c>
      <c r="I57" s="614">
        <v>3</v>
      </c>
      <c r="J57" s="329" t="s">
        <v>59</v>
      </c>
      <c r="K57" s="329"/>
      <c r="L57" s="316" t="s">
        <v>2078</v>
      </c>
      <c r="M57" s="612"/>
      <c r="N57" s="329">
        <v>3</v>
      </c>
      <c r="O57" s="329">
        <v>3</v>
      </c>
      <c r="P57" s="329" t="s">
        <v>59</v>
      </c>
      <c r="Q57" s="329" t="s">
        <v>58</v>
      </c>
      <c r="R57" s="329" t="s">
        <v>2079</v>
      </c>
      <c r="S57" s="329"/>
      <c r="T57" s="615"/>
      <c r="U57" s="616"/>
      <c r="V57" s="617" t="s">
        <v>2080</v>
      </c>
      <c r="W57" s="618">
        <v>50004</v>
      </c>
      <c r="X57" s="619">
        <v>0.6</v>
      </c>
      <c r="Y57" s="618">
        <v>30002.399999999998</v>
      </c>
      <c r="Z57" s="618">
        <v>50004</v>
      </c>
      <c r="AA57" s="619">
        <v>0.6</v>
      </c>
      <c r="AB57" s="618">
        <v>30002.399999999998</v>
      </c>
      <c r="AC57" s="618">
        <v>0</v>
      </c>
      <c r="AD57" s="620">
        <v>0</v>
      </c>
      <c r="AE57" s="618" t="e">
        <v>#N/A</v>
      </c>
    </row>
    <row r="58" spans="1:31" ht="165.6" hidden="1">
      <c r="A58" s="611" t="s">
        <v>2081</v>
      </c>
      <c r="B58" s="612" t="s">
        <v>2062</v>
      </c>
      <c r="C58" s="612" t="s">
        <v>2055</v>
      </c>
      <c r="D58" s="612"/>
      <c r="E58" s="613" t="s">
        <v>2082</v>
      </c>
      <c r="F58" s="330" t="s">
        <v>2083</v>
      </c>
      <c r="G58" s="612" t="s">
        <v>2084</v>
      </c>
      <c r="H58" s="614">
        <v>5</v>
      </c>
      <c r="I58" s="614">
        <v>3</v>
      </c>
      <c r="J58" s="329" t="s">
        <v>58</v>
      </c>
      <c r="K58" s="329"/>
      <c r="L58" s="606" t="s">
        <v>2085</v>
      </c>
      <c r="M58" s="612"/>
      <c r="N58" s="329">
        <v>5</v>
      </c>
      <c r="O58" s="329">
        <v>2</v>
      </c>
      <c r="P58" s="329" t="s">
        <v>59</v>
      </c>
      <c r="Q58" s="329" t="s">
        <v>58</v>
      </c>
      <c r="R58" s="329" t="s">
        <v>2086</v>
      </c>
      <c r="S58" s="329"/>
      <c r="T58" s="615"/>
      <c r="U58" s="616"/>
      <c r="V58" s="617" t="s">
        <v>2087</v>
      </c>
      <c r="W58" s="618">
        <v>50005</v>
      </c>
      <c r="X58" s="619">
        <v>0.6</v>
      </c>
      <c r="Y58" s="618">
        <v>30003</v>
      </c>
      <c r="Z58" s="618">
        <v>50005</v>
      </c>
      <c r="AA58" s="619">
        <v>0.4</v>
      </c>
      <c r="AB58" s="618">
        <v>20002</v>
      </c>
      <c r="AC58" s="618">
        <v>10001</v>
      </c>
      <c r="AD58" s="620">
        <v>0.33333333333333331</v>
      </c>
      <c r="AE58" s="618" t="e">
        <v>#N/A</v>
      </c>
    </row>
    <row r="59" spans="1:31" ht="276" hidden="1">
      <c r="A59" s="611" t="s">
        <v>2088</v>
      </c>
      <c r="B59" s="612" t="s">
        <v>2062</v>
      </c>
      <c r="C59" s="612" t="s">
        <v>2154</v>
      </c>
      <c r="D59" s="612"/>
      <c r="E59" s="613" t="s">
        <v>2089</v>
      </c>
      <c r="F59" s="330" t="s">
        <v>2090</v>
      </c>
      <c r="G59" s="612" t="s">
        <v>2091</v>
      </c>
      <c r="H59" s="614">
        <v>5</v>
      </c>
      <c r="I59" s="614">
        <v>5</v>
      </c>
      <c r="J59" s="329" t="s">
        <v>58</v>
      </c>
      <c r="K59" s="329"/>
      <c r="L59" s="316" t="s">
        <v>2092</v>
      </c>
      <c r="M59" s="612"/>
      <c r="N59" s="329">
        <v>4</v>
      </c>
      <c r="O59" s="329">
        <v>5</v>
      </c>
      <c r="P59" s="329" t="s">
        <v>58</v>
      </c>
      <c r="Q59" s="329" t="s">
        <v>58</v>
      </c>
      <c r="R59" s="329" t="s">
        <v>2093</v>
      </c>
      <c r="S59" s="329"/>
      <c r="T59" s="615"/>
      <c r="U59" s="616"/>
      <c r="V59" s="617" t="s">
        <v>2094</v>
      </c>
      <c r="W59" s="618">
        <v>50006</v>
      </c>
      <c r="X59" s="619">
        <v>1</v>
      </c>
      <c r="Y59" s="618">
        <v>50006</v>
      </c>
      <c r="Z59" s="618">
        <v>50006</v>
      </c>
      <c r="AA59" s="619">
        <v>1</v>
      </c>
      <c r="AB59" s="618">
        <v>50006</v>
      </c>
      <c r="AC59" s="618">
        <v>0</v>
      </c>
      <c r="AD59" s="620">
        <v>0</v>
      </c>
      <c r="AE59" s="618" t="e">
        <v>#N/A</v>
      </c>
    </row>
    <row r="60" spans="1:31" ht="207" hidden="1">
      <c r="A60" s="611"/>
      <c r="B60" s="612" t="s">
        <v>2062</v>
      </c>
      <c r="C60" s="612" t="s">
        <v>2055</v>
      </c>
      <c r="D60" s="612"/>
      <c r="E60" s="613" t="s">
        <v>2095</v>
      </c>
      <c r="F60" s="330" t="s">
        <v>2096</v>
      </c>
      <c r="G60" s="612" t="s">
        <v>2051</v>
      </c>
      <c r="H60" s="614">
        <v>5</v>
      </c>
      <c r="I60" s="614">
        <v>4</v>
      </c>
      <c r="J60" s="329" t="s">
        <v>58</v>
      </c>
      <c r="K60" s="329"/>
      <c r="L60" s="316" t="s">
        <v>2097</v>
      </c>
      <c r="M60" s="612"/>
      <c r="N60" s="329">
        <v>5</v>
      </c>
      <c r="O60" s="329">
        <v>3</v>
      </c>
      <c r="P60" s="329" t="s">
        <v>58</v>
      </c>
      <c r="Q60" s="329" t="s">
        <v>58</v>
      </c>
      <c r="R60" s="329" t="s">
        <v>2098</v>
      </c>
      <c r="S60" s="329"/>
      <c r="T60" s="615"/>
      <c r="U60" s="616"/>
      <c r="V60" s="617" t="s">
        <v>2099</v>
      </c>
      <c r="W60" s="618">
        <v>50007</v>
      </c>
      <c r="X60" s="619">
        <v>0.8</v>
      </c>
      <c r="Y60" s="618">
        <v>40005.600000000006</v>
      </c>
      <c r="Z60" s="618">
        <v>50007</v>
      </c>
      <c r="AA60" s="619">
        <v>0.6</v>
      </c>
      <c r="AB60" s="618">
        <v>30004.199999999997</v>
      </c>
      <c r="AC60" s="618">
        <v>10001.400000000009</v>
      </c>
      <c r="AD60" s="620">
        <v>0.25000000000000017</v>
      </c>
      <c r="AE60" s="618" t="e">
        <v>#N/A</v>
      </c>
    </row>
    <row r="61" spans="1:31" ht="96.6" hidden="1">
      <c r="A61" s="611"/>
      <c r="B61" s="612" t="s">
        <v>2100</v>
      </c>
      <c r="C61" s="612" t="s">
        <v>2157</v>
      </c>
      <c r="D61" s="612"/>
      <c r="E61" s="613" t="s">
        <v>2101</v>
      </c>
      <c r="F61" s="330" t="s">
        <v>2102</v>
      </c>
      <c r="G61" s="612" t="s">
        <v>2103</v>
      </c>
      <c r="H61" s="614">
        <v>4</v>
      </c>
      <c r="I61" s="614">
        <v>3</v>
      </c>
      <c r="J61" s="329" t="s">
        <v>59</v>
      </c>
      <c r="K61" s="329"/>
      <c r="L61" s="316" t="s">
        <v>2104</v>
      </c>
      <c r="M61" s="612"/>
      <c r="N61" s="329">
        <v>4</v>
      </c>
      <c r="O61" s="329">
        <v>2</v>
      </c>
      <c r="P61" s="329" t="s">
        <v>59</v>
      </c>
      <c r="Q61" s="329" t="s">
        <v>58</v>
      </c>
      <c r="R61" s="329" t="s">
        <v>2105</v>
      </c>
      <c r="S61" s="329"/>
      <c r="T61" s="615"/>
      <c r="U61" s="616"/>
      <c r="V61" s="617" t="s">
        <v>2080</v>
      </c>
      <c r="W61" s="618">
        <v>50008</v>
      </c>
      <c r="X61" s="619">
        <v>0.6</v>
      </c>
      <c r="Y61" s="618">
        <v>30004.799999999999</v>
      </c>
      <c r="Z61" s="618">
        <v>50008</v>
      </c>
      <c r="AA61" s="619">
        <v>0.4</v>
      </c>
      <c r="AB61" s="618">
        <v>20003.2</v>
      </c>
      <c r="AC61" s="618">
        <v>10001.599999999999</v>
      </c>
      <c r="AD61" s="620">
        <v>0.33333333333333331</v>
      </c>
      <c r="AE61" s="618" t="e">
        <v>#N/A</v>
      </c>
    </row>
    <row r="62" spans="1:31" ht="207" hidden="1">
      <c r="A62" s="611" t="s">
        <v>2106</v>
      </c>
      <c r="B62" s="612" t="s">
        <v>2062</v>
      </c>
      <c r="C62" s="612" t="s">
        <v>2157</v>
      </c>
      <c r="D62" s="612"/>
      <c r="E62" s="613" t="s">
        <v>2107</v>
      </c>
      <c r="F62" s="330" t="s">
        <v>2108</v>
      </c>
      <c r="G62" s="612" t="s">
        <v>2109</v>
      </c>
      <c r="H62" s="614">
        <v>5</v>
      </c>
      <c r="I62" s="614">
        <v>4</v>
      </c>
      <c r="J62" s="329" t="s">
        <v>58</v>
      </c>
      <c r="K62" s="329"/>
      <c r="L62" s="316" t="s">
        <v>2110</v>
      </c>
      <c r="M62" s="612"/>
      <c r="N62" s="329">
        <v>4</v>
      </c>
      <c r="O62" s="329">
        <v>3</v>
      </c>
      <c r="P62" s="329" t="s">
        <v>59</v>
      </c>
      <c r="Q62" s="329" t="s">
        <v>59</v>
      </c>
      <c r="R62" s="329" t="s">
        <v>2111</v>
      </c>
      <c r="S62" s="329"/>
      <c r="T62" s="615"/>
      <c r="U62" s="616"/>
      <c r="V62" s="617" t="s">
        <v>2112</v>
      </c>
      <c r="W62" s="618">
        <v>50009</v>
      </c>
      <c r="X62" s="619">
        <v>0.8</v>
      </c>
      <c r="Y62" s="618">
        <v>40007.200000000004</v>
      </c>
      <c r="Z62" s="618">
        <v>50009</v>
      </c>
      <c r="AA62" s="619">
        <v>0.6</v>
      </c>
      <c r="AB62" s="618">
        <v>30005.399999999998</v>
      </c>
      <c r="AC62" s="618">
        <v>10001.800000000007</v>
      </c>
      <c r="AD62" s="620">
        <v>0.25000000000000011</v>
      </c>
      <c r="AE62" s="618" t="e">
        <v>#N/A</v>
      </c>
    </row>
    <row r="63" spans="1:31" ht="220.8" hidden="1">
      <c r="A63" s="631" t="s">
        <v>2113</v>
      </c>
      <c r="B63" s="632" t="s">
        <v>2062</v>
      </c>
      <c r="C63" s="632" t="s">
        <v>2151</v>
      </c>
      <c r="D63" s="632"/>
      <c r="E63" s="633" t="s">
        <v>2114</v>
      </c>
      <c r="F63" s="604" t="s">
        <v>2115</v>
      </c>
      <c r="G63" s="632" t="s">
        <v>2116</v>
      </c>
      <c r="H63" s="634">
        <v>4</v>
      </c>
      <c r="I63" s="634">
        <v>4</v>
      </c>
      <c r="J63" s="605" t="s">
        <v>58</v>
      </c>
      <c r="K63" s="605"/>
      <c r="L63" s="317" t="s">
        <v>2117</v>
      </c>
      <c r="M63" s="632"/>
      <c r="N63" s="605">
        <v>4</v>
      </c>
      <c r="O63" s="605">
        <v>3</v>
      </c>
      <c r="P63" s="605" t="s">
        <v>59</v>
      </c>
      <c r="Q63" s="605" t="s">
        <v>59</v>
      </c>
      <c r="R63" s="605"/>
      <c r="S63" s="605"/>
      <c r="T63" s="635"/>
      <c r="U63" s="636"/>
      <c r="V63" s="637" t="s">
        <v>2118</v>
      </c>
      <c r="W63" s="638">
        <v>50010</v>
      </c>
      <c r="X63" s="639">
        <v>0.8</v>
      </c>
      <c r="Y63" s="638">
        <v>40008</v>
      </c>
      <c r="Z63" s="638">
        <v>50010</v>
      </c>
      <c r="AA63" s="639">
        <v>0.6</v>
      </c>
      <c r="AB63" s="638">
        <v>30006</v>
      </c>
      <c r="AC63" s="638">
        <v>10002</v>
      </c>
      <c r="AD63" s="640">
        <v>0.25</v>
      </c>
      <c r="AE63" s="638" t="e">
        <v>#N/A</v>
      </c>
    </row>
    <row r="64" spans="1:31" ht="179.4" hidden="1">
      <c r="A64" s="611"/>
      <c r="B64" s="612" t="s">
        <v>2119</v>
      </c>
      <c r="C64" s="612" t="s">
        <v>2154</v>
      </c>
      <c r="D64" s="612"/>
      <c r="E64" s="613" t="s">
        <v>2120</v>
      </c>
      <c r="F64" s="330" t="s">
        <v>2121</v>
      </c>
      <c r="G64" s="612"/>
      <c r="H64" s="614">
        <v>4</v>
      </c>
      <c r="I64" s="614">
        <v>5</v>
      </c>
      <c r="J64" s="329" t="s">
        <v>58</v>
      </c>
      <c r="K64" s="329"/>
      <c r="L64" s="316" t="s">
        <v>2122</v>
      </c>
      <c r="M64" s="612"/>
      <c r="N64" s="329">
        <v>3</v>
      </c>
      <c r="O64" s="329">
        <v>4</v>
      </c>
      <c r="P64" s="329" t="s">
        <v>59</v>
      </c>
      <c r="Q64" s="329" t="s">
        <v>159</v>
      </c>
      <c r="R64" s="329" t="s">
        <v>2123</v>
      </c>
      <c r="S64" s="329"/>
      <c r="T64" s="615"/>
      <c r="U64" s="616"/>
      <c r="V64" s="617" t="s">
        <v>2094</v>
      </c>
      <c r="W64" s="618">
        <v>50011</v>
      </c>
      <c r="X64" s="619">
        <v>1</v>
      </c>
      <c r="Y64" s="618">
        <v>50011</v>
      </c>
      <c r="Z64" s="618">
        <v>50011</v>
      </c>
      <c r="AA64" s="619">
        <v>0.8</v>
      </c>
      <c r="AB64" s="618">
        <v>40008.800000000003</v>
      </c>
      <c r="AC64" s="618">
        <v>10002.199999999997</v>
      </c>
      <c r="AD64" s="620">
        <v>0.19999999999999996</v>
      </c>
      <c r="AE64" s="618" t="e">
        <v>#N/A</v>
      </c>
    </row>
    <row r="65" spans="1:31" ht="96.6" hidden="1">
      <c r="A65" s="611"/>
      <c r="B65" s="612" t="s">
        <v>2119</v>
      </c>
      <c r="C65" s="612" t="s">
        <v>2055</v>
      </c>
      <c r="D65" s="612"/>
      <c r="E65" s="613" t="s">
        <v>2124</v>
      </c>
      <c r="F65" s="330" t="s">
        <v>2125</v>
      </c>
      <c r="G65" s="612"/>
      <c r="H65" s="614">
        <v>4</v>
      </c>
      <c r="I65" s="614">
        <v>5</v>
      </c>
      <c r="J65" s="329" t="s">
        <v>58</v>
      </c>
      <c r="K65" s="329"/>
      <c r="L65" s="316" t="s">
        <v>2126</v>
      </c>
      <c r="M65" s="612"/>
      <c r="N65" s="329">
        <v>3</v>
      </c>
      <c r="O65" s="329">
        <v>4</v>
      </c>
      <c r="P65" s="329" t="s">
        <v>59</v>
      </c>
      <c r="Q65" s="329" t="s">
        <v>58</v>
      </c>
      <c r="R65" s="329" t="s">
        <v>2127</v>
      </c>
      <c r="S65" s="329"/>
      <c r="T65" s="615"/>
      <c r="U65" s="616"/>
      <c r="V65" s="617" t="s">
        <v>2094</v>
      </c>
      <c r="W65" s="618">
        <v>50012</v>
      </c>
      <c r="X65" s="619">
        <v>1</v>
      </c>
      <c r="Y65" s="618">
        <v>50012</v>
      </c>
      <c r="Z65" s="618">
        <v>50012</v>
      </c>
      <c r="AA65" s="619">
        <v>0.8</v>
      </c>
      <c r="AB65" s="618">
        <v>40009.600000000006</v>
      </c>
      <c r="AC65" s="618">
        <v>10002.399999999994</v>
      </c>
      <c r="AD65" s="620">
        <v>0.19999999999999987</v>
      </c>
      <c r="AE65" s="618" t="e">
        <v>#N/A</v>
      </c>
    </row>
    <row r="66" spans="1:31" ht="220.8" hidden="1">
      <c r="A66" s="611"/>
      <c r="B66" s="612" t="s">
        <v>2062</v>
      </c>
      <c r="C66" s="612" t="s">
        <v>2161</v>
      </c>
      <c r="D66" s="612"/>
      <c r="E66" s="613" t="s">
        <v>2128</v>
      </c>
      <c r="F66" s="330" t="s">
        <v>2129</v>
      </c>
      <c r="G66" s="612" t="s">
        <v>2130</v>
      </c>
      <c r="H66" s="614">
        <v>4</v>
      </c>
      <c r="I66" s="614">
        <v>3</v>
      </c>
      <c r="J66" s="329" t="s">
        <v>59</v>
      </c>
      <c r="K66" s="329"/>
      <c r="L66" s="316" t="s">
        <v>2131</v>
      </c>
      <c r="M66" s="612"/>
      <c r="N66" s="329">
        <v>3</v>
      </c>
      <c r="O66" s="329">
        <v>3</v>
      </c>
      <c r="P66" s="329" t="s">
        <v>59</v>
      </c>
      <c r="Q66" s="329" t="s">
        <v>58</v>
      </c>
      <c r="R66" s="329" t="s">
        <v>2132</v>
      </c>
      <c r="S66" s="329"/>
      <c r="T66" s="615"/>
      <c r="U66" s="616"/>
      <c r="V66" s="617" t="s">
        <v>2133</v>
      </c>
      <c r="W66" s="618">
        <v>50013</v>
      </c>
      <c r="X66" s="619">
        <v>0.6</v>
      </c>
      <c r="Y66" s="618">
        <v>30007.8</v>
      </c>
      <c r="Z66" s="618">
        <v>50013</v>
      </c>
      <c r="AA66" s="619">
        <v>0.6</v>
      </c>
      <c r="AB66" s="618">
        <v>30007.8</v>
      </c>
      <c r="AC66" s="618">
        <v>0</v>
      </c>
      <c r="AD66" s="620">
        <v>0</v>
      </c>
      <c r="AE66" s="618" t="e">
        <v>#N/A</v>
      </c>
    </row>
    <row r="67" spans="1:31" ht="138" hidden="1">
      <c r="A67" s="631"/>
      <c r="B67" s="632" t="s">
        <v>2119</v>
      </c>
      <c r="C67" s="632" t="s">
        <v>2154</v>
      </c>
      <c r="D67" s="632"/>
      <c r="E67" s="633" t="s">
        <v>2134</v>
      </c>
      <c r="F67" s="604" t="s">
        <v>2135</v>
      </c>
      <c r="G67" s="632" t="s">
        <v>2136</v>
      </c>
      <c r="H67" s="634">
        <v>4</v>
      </c>
      <c r="I67" s="634">
        <v>3</v>
      </c>
      <c r="J67" s="605" t="s">
        <v>59</v>
      </c>
      <c r="K67" s="605"/>
      <c r="L67" s="317" t="s">
        <v>2137</v>
      </c>
      <c r="M67" s="632"/>
      <c r="N67" s="605">
        <v>3</v>
      </c>
      <c r="O67" s="605">
        <v>3</v>
      </c>
      <c r="P67" s="605" t="s">
        <v>59</v>
      </c>
      <c r="Q67" s="605" t="s">
        <v>58</v>
      </c>
      <c r="R67" s="605" t="s">
        <v>2138</v>
      </c>
      <c r="S67" s="605"/>
      <c r="T67" s="635"/>
      <c r="U67" s="636"/>
      <c r="V67" s="637" t="s">
        <v>2094</v>
      </c>
      <c r="W67" s="638">
        <v>50014</v>
      </c>
      <c r="X67" s="639">
        <v>0.6</v>
      </c>
      <c r="Y67" s="638">
        <v>30008.399999999998</v>
      </c>
      <c r="Z67" s="638">
        <v>50014</v>
      </c>
      <c r="AA67" s="639">
        <v>0.6</v>
      </c>
      <c r="AB67" s="638">
        <v>30008.399999999998</v>
      </c>
      <c r="AC67" s="638">
        <v>0</v>
      </c>
      <c r="AD67" s="640">
        <v>0</v>
      </c>
      <c r="AE67" s="638" t="e">
        <v>#N/A</v>
      </c>
    </row>
  </sheetData>
  <mergeCells count="4">
    <mergeCell ref="A2:D2"/>
    <mergeCell ref="A3:D3"/>
    <mergeCell ref="A4:D4"/>
    <mergeCell ref="A5:D5"/>
  </mergeCells>
  <conditionalFormatting sqref="L8:L67 J8:J67">
    <cfRule type="containsText" dxfId="37" priority="67" operator="containsText" text="Negligible">
      <formula>NOT(ISERROR(SEARCH("Negligible",J8)))</formula>
    </cfRule>
    <cfRule type="containsText" dxfId="36" priority="68" operator="containsText" text="Minor">
      <formula>NOT(ISERROR(SEARCH("Minor",J8)))</formula>
    </cfRule>
    <cfRule type="containsText" dxfId="35" priority="69" operator="containsText" text="Moderate">
      <formula>NOT(ISERROR(SEARCH("Moderate",J8)))</formula>
    </cfRule>
    <cfRule type="containsText" dxfId="34" priority="70" operator="containsText" text="Major">
      <formula>NOT(ISERROR(SEARCH("Major",J8)))</formula>
    </cfRule>
    <cfRule type="containsText" dxfId="33" priority="71" operator="containsText" text="Severe">
      <formula>NOT(ISERROR(SEARCH("Severe",J8)))</formula>
    </cfRule>
  </conditionalFormatting>
  <conditionalFormatting sqref="P8:R67 K8:K67">
    <cfRule type="containsText" dxfId="32" priority="62" operator="containsText" text="Insignificant">
      <formula>NOT(ISERROR(SEARCH("Insignificant",K8)))</formula>
    </cfRule>
    <cfRule type="containsText" dxfId="31" priority="63" operator="containsText" text="Minor">
      <formula>NOT(ISERROR(SEARCH("Minor",K8)))</formula>
    </cfRule>
    <cfRule type="containsText" dxfId="30" priority="64" operator="containsText" text="Moderate">
      <formula>NOT(ISERROR(SEARCH("Moderate",K8)))</formula>
    </cfRule>
    <cfRule type="containsText" dxfId="29" priority="65" operator="containsText" text="Major">
      <formula>NOT(ISERROR(SEARCH("Major",K8)))</formula>
    </cfRule>
    <cfRule type="containsText" dxfId="28" priority="66" operator="containsText" text="Severe">
      <formula>NOT(ISERROR(SEARCH("Severe",K8)))</formula>
    </cfRule>
  </conditionalFormatting>
  <conditionalFormatting sqref="E8:F67">
    <cfRule type="colorScale" priority="1634">
      <colorScale>
        <cfvo type="min"/>
        <cfvo type="max"/>
        <color rgb="FFFF7128"/>
        <color rgb="FFFFEF9C"/>
      </colorScale>
    </cfRule>
  </conditionalFormatting>
  <dataValidations count="2">
    <dataValidation type="list" allowBlank="1" showInputMessage="1" showErrorMessage="1" sqref="Q5:S5 K5:M5" xr:uid="{22A7ACAF-DCDD-4943-82DD-33516F545D7E}">
      <formula1>#REF!</formula1>
    </dataValidation>
    <dataValidation type="list" allowBlank="1" showInputMessage="1" sqref="M8:M67" xr:uid="{38716544-FB15-4FCC-B3F4-C6B686BC0B42}">
      <formula1>#REF!</formula1>
    </dataValidation>
  </dataValidations>
  <pageMargins left="0.70866141732283472" right="0.70866141732283472" top="0.74803149606299213" bottom="0.74803149606299213" header="0.31496062992125984" footer="0.31496062992125984"/>
  <pageSetup paperSize="8" scale="54"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5">
        <x14:dataValidation type="list" allowBlank="1" showInputMessage="1" showErrorMessage="1" xr:uid="{ACCD4A94-9B09-4C06-8622-D083F8F1AB55}">
          <x14:formula1>
            <xm:f>'KRI_KPI Overview'!$A$6:$A$15</xm:f>
          </x14:formula1>
          <xm:sqref>B8:B67</xm:sqref>
        </x14:dataValidation>
        <x14:dataValidation type="list" allowBlank="1" showInputMessage="1" showErrorMessage="1" xr:uid="{83D58D19-7A94-46F1-888A-6895D961DC58}">
          <x14:formula1>
            <xm:f>'RAD data'!$E$4:$E$7</xm:f>
          </x14:formula1>
          <xm:sqref>K8:K67</xm:sqref>
        </x14:dataValidation>
        <x14:dataValidation type="list" allowBlank="1" showInputMessage="1" showErrorMessage="1" xr:uid="{42CBE4D6-B83A-42AE-9F8B-373C10C9D138}">
          <x14:formula1>
            <xm:f>'RAD data'!$C$4:$C$8</xm:f>
          </x14:formula1>
          <xm:sqref>N8:N67</xm:sqref>
        </x14:dataValidation>
        <x14:dataValidation type="list" allowBlank="1" showInputMessage="1" showErrorMessage="1" xr:uid="{FE3BBB12-104C-4845-A148-4C8B566A675F}">
          <x14:formula1>
            <xm:f>'RAD data'!$D$4:$D$8</xm:f>
          </x14:formula1>
          <xm:sqref>O8:O67</xm:sqref>
        </x14:dataValidation>
        <x14:dataValidation type="list" allowBlank="1" showInputMessage="1" showErrorMessage="1" xr:uid="{828EDB42-4149-4637-AEDC-5EC4E426DE7D}">
          <x14:formula1>
            <xm:f>'KRI Definitions'!$A$2:$A$8</xm:f>
          </x14:formula1>
          <xm:sqref>C7:C67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FADC2-FA69-4DAF-ADB2-CF0B010CC21F}">
  <sheetPr codeName="Sheet26">
    <tabColor rgb="FFFFFFCC"/>
    <pageSetUpPr fitToPage="1"/>
  </sheetPr>
  <dimension ref="A1:W11"/>
  <sheetViews>
    <sheetView zoomScale="70" zoomScaleNormal="70" workbookViewId="0">
      <pane xSplit="4" ySplit="7" topLeftCell="E8" activePane="bottomRight" state="frozen"/>
      <selection pane="topRight" activeCell="G1" sqref="G1"/>
      <selection pane="bottomLeft" activeCell="A8" sqref="A8"/>
      <selection pane="bottomRight" activeCell="D9" sqref="D9"/>
    </sheetView>
  </sheetViews>
  <sheetFormatPr defaultColWidth="9.33203125" defaultRowHeight="14.25" customHeight="1" outlineLevelCol="1"/>
  <cols>
    <col min="1" max="1" width="12.21875" style="56" bestFit="1" customWidth="1"/>
    <col min="2" max="2" width="22.88671875" style="56" bestFit="1" customWidth="1"/>
    <col min="3" max="3" width="29.109375" style="56" bestFit="1" customWidth="1"/>
    <col min="4" max="4" width="142.109375" style="56" bestFit="1" customWidth="1"/>
    <col min="5" max="5" width="21.44140625" style="56" bestFit="1" customWidth="1"/>
    <col min="6" max="6" width="15.77734375" style="56" bestFit="1" customWidth="1"/>
    <col min="7" max="7" width="10.77734375" style="56" customWidth="1" outlineLevel="1"/>
    <col min="8" max="8" width="11.77734375" style="56" bestFit="1" customWidth="1" outlineLevel="1"/>
    <col min="9" max="9" width="17.44140625" style="56" bestFit="1" customWidth="1"/>
    <col min="10" max="10" width="19.44140625" style="56" bestFit="1" customWidth="1"/>
    <col min="11" max="11" width="122.88671875" style="56" bestFit="1" customWidth="1"/>
    <col min="12" max="12" width="17.44140625" style="56" bestFit="1" customWidth="1"/>
    <col min="13" max="13" width="51.44140625" style="56" bestFit="1" customWidth="1"/>
    <col min="14" max="14" width="17" style="56" bestFit="1" customWidth="1"/>
    <col min="15" max="15" width="20" style="56" bestFit="1" customWidth="1"/>
    <col min="16" max="16" width="13.5546875" style="63" bestFit="1" customWidth="1"/>
    <col min="17" max="17" width="13.6640625" style="56" bestFit="1" customWidth="1"/>
    <col min="18" max="261" width="9.33203125" style="56"/>
    <col min="262" max="262" width="15.6640625" style="56" customWidth="1"/>
    <col min="263" max="263" width="17" style="56" customWidth="1"/>
    <col min="264" max="264" width="59.33203125" style="56" customWidth="1"/>
    <col min="265" max="265" width="17.33203125" style="56" customWidth="1"/>
    <col min="266" max="266" width="15.5546875" style="56" customWidth="1"/>
    <col min="267" max="267" width="60.33203125" style="56" customWidth="1"/>
    <col min="268" max="268" width="12.44140625" style="56" customWidth="1"/>
    <col min="269" max="517" width="9.33203125" style="56"/>
    <col min="518" max="518" width="15.6640625" style="56" customWidth="1"/>
    <col min="519" max="519" width="17" style="56" customWidth="1"/>
    <col min="520" max="520" width="59.33203125" style="56" customWidth="1"/>
    <col min="521" max="521" width="17.33203125" style="56" customWidth="1"/>
    <col min="522" max="522" width="15.5546875" style="56" customWidth="1"/>
    <col min="523" max="523" width="60.33203125" style="56" customWidth="1"/>
    <col min="524" max="524" width="12.44140625" style="56" customWidth="1"/>
    <col min="525" max="773" width="9.33203125" style="56"/>
    <col min="774" max="774" width="15.6640625" style="56" customWidth="1"/>
    <col min="775" max="775" width="17" style="56" customWidth="1"/>
    <col min="776" max="776" width="59.33203125" style="56" customWidth="1"/>
    <col min="777" max="777" width="17.33203125" style="56" customWidth="1"/>
    <col min="778" max="778" width="15.5546875" style="56" customWidth="1"/>
    <col min="779" max="779" width="60.33203125" style="56" customWidth="1"/>
    <col min="780" max="780" width="12.44140625" style="56" customWidth="1"/>
    <col min="781" max="1029" width="9.33203125" style="56"/>
    <col min="1030" max="1030" width="15.6640625" style="56" customWidth="1"/>
    <col min="1031" max="1031" width="17" style="56" customWidth="1"/>
    <col min="1032" max="1032" width="59.33203125" style="56" customWidth="1"/>
    <col min="1033" max="1033" width="17.33203125" style="56" customWidth="1"/>
    <col min="1034" max="1034" width="15.5546875" style="56" customWidth="1"/>
    <col min="1035" max="1035" width="60.33203125" style="56" customWidth="1"/>
    <col min="1036" max="1036" width="12.44140625" style="56" customWidth="1"/>
    <col min="1037" max="1285" width="9.33203125" style="56"/>
    <col min="1286" max="1286" width="15.6640625" style="56" customWidth="1"/>
    <col min="1287" max="1287" width="17" style="56" customWidth="1"/>
    <col min="1288" max="1288" width="59.33203125" style="56" customWidth="1"/>
    <col min="1289" max="1289" width="17.33203125" style="56" customWidth="1"/>
    <col min="1290" max="1290" width="15.5546875" style="56" customWidth="1"/>
    <col min="1291" max="1291" width="60.33203125" style="56" customWidth="1"/>
    <col min="1292" max="1292" width="12.44140625" style="56" customWidth="1"/>
    <col min="1293" max="1541" width="9.33203125" style="56"/>
    <col min="1542" max="1542" width="15.6640625" style="56" customWidth="1"/>
    <col min="1543" max="1543" width="17" style="56" customWidth="1"/>
    <col min="1544" max="1544" width="59.33203125" style="56" customWidth="1"/>
    <col min="1545" max="1545" width="17.33203125" style="56" customWidth="1"/>
    <col min="1546" max="1546" width="15.5546875" style="56" customWidth="1"/>
    <col min="1547" max="1547" width="60.33203125" style="56" customWidth="1"/>
    <col min="1548" max="1548" width="12.44140625" style="56" customWidth="1"/>
    <col min="1549" max="1797" width="9.33203125" style="56"/>
    <col min="1798" max="1798" width="15.6640625" style="56" customWidth="1"/>
    <col min="1799" max="1799" width="17" style="56" customWidth="1"/>
    <col min="1800" max="1800" width="59.33203125" style="56" customWidth="1"/>
    <col min="1801" max="1801" width="17.33203125" style="56" customWidth="1"/>
    <col min="1802" max="1802" width="15.5546875" style="56" customWidth="1"/>
    <col min="1803" max="1803" width="60.33203125" style="56" customWidth="1"/>
    <col min="1804" max="1804" width="12.44140625" style="56" customWidth="1"/>
    <col min="1805" max="2053" width="9.33203125" style="56"/>
    <col min="2054" max="2054" width="15.6640625" style="56" customWidth="1"/>
    <col min="2055" max="2055" width="17" style="56" customWidth="1"/>
    <col min="2056" max="2056" width="59.33203125" style="56" customWidth="1"/>
    <col min="2057" max="2057" width="17.33203125" style="56" customWidth="1"/>
    <col min="2058" max="2058" width="15.5546875" style="56" customWidth="1"/>
    <col min="2059" max="2059" width="60.33203125" style="56" customWidth="1"/>
    <col min="2060" max="2060" width="12.44140625" style="56" customWidth="1"/>
    <col min="2061" max="2309" width="9.33203125" style="56"/>
    <col min="2310" max="2310" width="15.6640625" style="56" customWidth="1"/>
    <col min="2311" max="2311" width="17" style="56" customWidth="1"/>
    <col min="2312" max="2312" width="59.33203125" style="56" customWidth="1"/>
    <col min="2313" max="2313" width="17.33203125" style="56" customWidth="1"/>
    <col min="2314" max="2314" width="15.5546875" style="56" customWidth="1"/>
    <col min="2315" max="2315" width="60.33203125" style="56" customWidth="1"/>
    <col min="2316" max="2316" width="12.44140625" style="56" customWidth="1"/>
    <col min="2317" max="2565" width="9.33203125" style="56"/>
    <col min="2566" max="2566" width="15.6640625" style="56" customWidth="1"/>
    <col min="2567" max="2567" width="17" style="56" customWidth="1"/>
    <col min="2568" max="2568" width="59.33203125" style="56" customWidth="1"/>
    <col min="2569" max="2569" width="17.33203125" style="56" customWidth="1"/>
    <col min="2570" max="2570" width="15.5546875" style="56" customWidth="1"/>
    <col min="2571" max="2571" width="60.33203125" style="56" customWidth="1"/>
    <col min="2572" max="2572" width="12.44140625" style="56" customWidth="1"/>
    <col min="2573" max="2821" width="9.33203125" style="56"/>
    <col min="2822" max="2822" width="15.6640625" style="56" customWidth="1"/>
    <col min="2823" max="2823" width="17" style="56" customWidth="1"/>
    <col min="2824" max="2824" width="59.33203125" style="56" customWidth="1"/>
    <col min="2825" max="2825" width="17.33203125" style="56" customWidth="1"/>
    <col min="2826" max="2826" width="15.5546875" style="56" customWidth="1"/>
    <col min="2827" max="2827" width="60.33203125" style="56" customWidth="1"/>
    <col min="2828" max="2828" width="12.44140625" style="56" customWidth="1"/>
    <col min="2829" max="3077" width="9.33203125" style="56"/>
    <col min="3078" max="3078" width="15.6640625" style="56" customWidth="1"/>
    <col min="3079" max="3079" width="17" style="56" customWidth="1"/>
    <col min="3080" max="3080" width="59.33203125" style="56" customWidth="1"/>
    <col min="3081" max="3081" width="17.33203125" style="56" customWidth="1"/>
    <col min="3082" max="3082" width="15.5546875" style="56" customWidth="1"/>
    <col min="3083" max="3083" width="60.33203125" style="56" customWidth="1"/>
    <col min="3084" max="3084" width="12.44140625" style="56" customWidth="1"/>
    <col min="3085" max="3333" width="9.33203125" style="56"/>
    <col min="3334" max="3334" width="15.6640625" style="56" customWidth="1"/>
    <col min="3335" max="3335" width="17" style="56" customWidth="1"/>
    <col min="3336" max="3336" width="59.33203125" style="56" customWidth="1"/>
    <col min="3337" max="3337" width="17.33203125" style="56" customWidth="1"/>
    <col min="3338" max="3338" width="15.5546875" style="56" customWidth="1"/>
    <col min="3339" max="3339" width="60.33203125" style="56" customWidth="1"/>
    <col min="3340" max="3340" width="12.44140625" style="56" customWidth="1"/>
    <col min="3341" max="3589" width="9.33203125" style="56"/>
    <col min="3590" max="3590" width="15.6640625" style="56" customWidth="1"/>
    <col min="3591" max="3591" width="17" style="56" customWidth="1"/>
    <col min="3592" max="3592" width="59.33203125" style="56" customWidth="1"/>
    <col min="3593" max="3593" width="17.33203125" style="56" customWidth="1"/>
    <col min="3594" max="3594" width="15.5546875" style="56" customWidth="1"/>
    <col min="3595" max="3595" width="60.33203125" style="56" customWidth="1"/>
    <col min="3596" max="3596" width="12.44140625" style="56" customWidth="1"/>
    <col min="3597" max="3845" width="9.33203125" style="56"/>
    <col min="3846" max="3846" width="15.6640625" style="56" customWidth="1"/>
    <col min="3847" max="3847" width="17" style="56" customWidth="1"/>
    <col min="3848" max="3848" width="59.33203125" style="56" customWidth="1"/>
    <col min="3849" max="3849" width="17.33203125" style="56" customWidth="1"/>
    <col min="3850" max="3850" width="15.5546875" style="56" customWidth="1"/>
    <col min="3851" max="3851" width="60.33203125" style="56" customWidth="1"/>
    <col min="3852" max="3852" width="12.44140625" style="56" customWidth="1"/>
    <col min="3853" max="4101" width="9.33203125" style="56"/>
    <col min="4102" max="4102" width="15.6640625" style="56" customWidth="1"/>
    <col min="4103" max="4103" width="17" style="56" customWidth="1"/>
    <col min="4104" max="4104" width="59.33203125" style="56" customWidth="1"/>
    <col min="4105" max="4105" width="17.33203125" style="56" customWidth="1"/>
    <col min="4106" max="4106" width="15.5546875" style="56" customWidth="1"/>
    <col min="4107" max="4107" width="60.33203125" style="56" customWidth="1"/>
    <col min="4108" max="4108" width="12.44140625" style="56" customWidth="1"/>
    <col min="4109" max="4357" width="9.33203125" style="56"/>
    <col min="4358" max="4358" width="15.6640625" style="56" customWidth="1"/>
    <col min="4359" max="4359" width="17" style="56" customWidth="1"/>
    <col min="4360" max="4360" width="59.33203125" style="56" customWidth="1"/>
    <col min="4361" max="4361" width="17.33203125" style="56" customWidth="1"/>
    <col min="4362" max="4362" width="15.5546875" style="56" customWidth="1"/>
    <col min="4363" max="4363" width="60.33203125" style="56" customWidth="1"/>
    <col min="4364" max="4364" width="12.44140625" style="56" customWidth="1"/>
    <col min="4365" max="4613" width="9.33203125" style="56"/>
    <col min="4614" max="4614" width="15.6640625" style="56" customWidth="1"/>
    <col min="4615" max="4615" width="17" style="56" customWidth="1"/>
    <col min="4616" max="4616" width="59.33203125" style="56" customWidth="1"/>
    <col min="4617" max="4617" width="17.33203125" style="56" customWidth="1"/>
    <col min="4618" max="4618" width="15.5546875" style="56" customWidth="1"/>
    <col min="4619" max="4619" width="60.33203125" style="56" customWidth="1"/>
    <col min="4620" max="4620" width="12.44140625" style="56" customWidth="1"/>
    <col min="4621" max="4869" width="9.33203125" style="56"/>
    <col min="4870" max="4870" width="15.6640625" style="56" customWidth="1"/>
    <col min="4871" max="4871" width="17" style="56" customWidth="1"/>
    <col min="4872" max="4872" width="59.33203125" style="56" customWidth="1"/>
    <col min="4873" max="4873" width="17.33203125" style="56" customWidth="1"/>
    <col min="4874" max="4874" width="15.5546875" style="56" customWidth="1"/>
    <col min="4875" max="4875" width="60.33203125" style="56" customWidth="1"/>
    <col min="4876" max="4876" width="12.44140625" style="56" customWidth="1"/>
    <col min="4877" max="5125" width="9.33203125" style="56"/>
    <col min="5126" max="5126" width="15.6640625" style="56" customWidth="1"/>
    <col min="5127" max="5127" width="17" style="56" customWidth="1"/>
    <col min="5128" max="5128" width="59.33203125" style="56" customWidth="1"/>
    <col min="5129" max="5129" width="17.33203125" style="56" customWidth="1"/>
    <col min="5130" max="5130" width="15.5546875" style="56" customWidth="1"/>
    <col min="5131" max="5131" width="60.33203125" style="56" customWidth="1"/>
    <col min="5132" max="5132" width="12.44140625" style="56" customWidth="1"/>
    <col min="5133" max="5381" width="9.33203125" style="56"/>
    <col min="5382" max="5382" width="15.6640625" style="56" customWidth="1"/>
    <col min="5383" max="5383" width="17" style="56" customWidth="1"/>
    <col min="5384" max="5384" width="59.33203125" style="56" customWidth="1"/>
    <col min="5385" max="5385" width="17.33203125" style="56" customWidth="1"/>
    <col min="5386" max="5386" width="15.5546875" style="56" customWidth="1"/>
    <col min="5387" max="5387" width="60.33203125" style="56" customWidth="1"/>
    <col min="5388" max="5388" width="12.44140625" style="56" customWidth="1"/>
    <col min="5389" max="5637" width="9.33203125" style="56"/>
    <col min="5638" max="5638" width="15.6640625" style="56" customWidth="1"/>
    <col min="5639" max="5639" width="17" style="56" customWidth="1"/>
    <col min="5640" max="5640" width="59.33203125" style="56" customWidth="1"/>
    <col min="5641" max="5641" width="17.33203125" style="56" customWidth="1"/>
    <col min="5642" max="5642" width="15.5546875" style="56" customWidth="1"/>
    <col min="5643" max="5643" width="60.33203125" style="56" customWidth="1"/>
    <col min="5644" max="5644" width="12.44140625" style="56" customWidth="1"/>
    <col min="5645" max="5893" width="9.33203125" style="56"/>
    <col min="5894" max="5894" width="15.6640625" style="56" customWidth="1"/>
    <col min="5895" max="5895" width="17" style="56" customWidth="1"/>
    <col min="5896" max="5896" width="59.33203125" style="56" customWidth="1"/>
    <col min="5897" max="5897" width="17.33203125" style="56" customWidth="1"/>
    <col min="5898" max="5898" width="15.5546875" style="56" customWidth="1"/>
    <col min="5899" max="5899" width="60.33203125" style="56" customWidth="1"/>
    <col min="5900" max="5900" width="12.44140625" style="56" customWidth="1"/>
    <col min="5901" max="6149" width="9.33203125" style="56"/>
    <col min="6150" max="6150" width="15.6640625" style="56" customWidth="1"/>
    <col min="6151" max="6151" width="17" style="56" customWidth="1"/>
    <col min="6152" max="6152" width="59.33203125" style="56" customWidth="1"/>
    <col min="6153" max="6153" width="17.33203125" style="56" customWidth="1"/>
    <col min="6154" max="6154" width="15.5546875" style="56" customWidth="1"/>
    <col min="6155" max="6155" width="60.33203125" style="56" customWidth="1"/>
    <col min="6156" max="6156" width="12.44140625" style="56" customWidth="1"/>
    <col min="6157" max="6405" width="9.33203125" style="56"/>
    <col min="6406" max="6406" width="15.6640625" style="56" customWidth="1"/>
    <col min="6407" max="6407" width="17" style="56" customWidth="1"/>
    <col min="6408" max="6408" width="59.33203125" style="56" customWidth="1"/>
    <col min="6409" max="6409" width="17.33203125" style="56" customWidth="1"/>
    <col min="6410" max="6410" width="15.5546875" style="56" customWidth="1"/>
    <col min="6411" max="6411" width="60.33203125" style="56" customWidth="1"/>
    <col min="6412" max="6412" width="12.44140625" style="56" customWidth="1"/>
    <col min="6413" max="6661" width="9.33203125" style="56"/>
    <col min="6662" max="6662" width="15.6640625" style="56" customWidth="1"/>
    <col min="6663" max="6663" width="17" style="56" customWidth="1"/>
    <col min="6664" max="6664" width="59.33203125" style="56" customWidth="1"/>
    <col min="6665" max="6665" width="17.33203125" style="56" customWidth="1"/>
    <col min="6666" max="6666" width="15.5546875" style="56" customWidth="1"/>
    <col min="6667" max="6667" width="60.33203125" style="56" customWidth="1"/>
    <col min="6668" max="6668" width="12.44140625" style="56" customWidth="1"/>
    <col min="6669" max="6917" width="9.33203125" style="56"/>
    <col min="6918" max="6918" width="15.6640625" style="56" customWidth="1"/>
    <col min="6919" max="6919" width="17" style="56" customWidth="1"/>
    <col min="6920" max="6920" width="59.33203125" style="56" customWidth="1"/>
    <col min="6921" max="6921" width="17.33203125" style="56" customWidth="1"/>
    <col min="6922" max="6922" width="15.5546875" style="56" customWidth="1"/>
    <col min="6923" max="6923" width="60.33203125" style="56" customWidth="1"/>
    <col min="6924" max="6924" width="12.44140625" style="56" customWidth="1"/>
    <col min="6925" max="7173" width="9.33203125" style="56"/>
    <col min="7174" max="7174" width="15.6640625" style="56" customWidth="1"/>
    <col min="7175" max="7175" width="17" style="56" customWidth="1"/>
    <col min="7176" max="7176" width="59.33203125" style="56" customWidth="1"/>
    <col min="7177" max="7177" width="17.33203125" style="56" customWidth="1"/>
    <col min="7178" max="7178" width="15.5546875" style="56" customWidth="1"/>
    <col min="7179" max="7179" width="60.33203125" style="56" customWidth="1"/>
    <col min="7180" max="7180" width="12.44140625" style="56" customWidth="1"/>
    <col min="7181" max="7429" width="9.33203125" style="56"/>
    <col min="7430" max="7430" width="15.6640625" style="56" customWidth="1"/>
    <col min="7431" max="7431" width="17" style="56" customWidth="1"/>
    <col min="7432" max="7432" width="59.33203125" style="56" customWidth="1"/>
    <col min="7433" max="7433" width="17.33203125" style="56" customWidth="1"/>
    <col min="7434" max="7434" width="15.5546875" style="56" customWidth="1"/>
    <col min="7435" max="7435" width="60.33203125" style="56" customWidth="1"/>
    <col min="7436" max="7436" width="12.44140625" style="56" customWidth="1"/>
    <col min="7437" max="7685" width="9.33203125" style="56"/>
    <col min="7686" max="7686" width="15.6640625" style="56" customWidth="1"/>
    <col min="7687" max="7687" width="17" style="56" customWidth="1"/>
    <col min="7688" max="7688" width="59.33203125" style="56" customWidth="1"/>
    <col min="7689" max="7689" width="17.33203125" style="56" customWidth="1"/>
    <col min="7690" max="7690" width="15.5546875" style="56" customWidth="1"/>
    <col min="7691" max="7691" width="60.33203125" style="56" customWidth="1"/>
    <col min="7692" max="7692" width="12.44140625" style="56" customWidth="1"/>
    <col min="7693" max="7941" width="9.33203125" style="56"/>
    <col min="7942" max="7942" width="15.6640625" style="56" customWidth="1"/>
    <col min="7943" max="7943" width="17" style="56" customWidth="1"/>
    <col min="7944" max="7944" width="59.33203125" style="56" customWidth="1"/>
    <col min="7945" max="7945" width="17.33203125" style="56" customWidth="1"/>
    <col min="7946" max="7946" width="15.5546875" style="56" customWidth="1"/>
    <col min="7947" max="7947" width="60.33203125" style="56" customWidth="1"/>
    <col min="7948" max="7948" width="12.44140625" style="56" customWidth="1"/>
    <col min="7949" max="8197" width="9.33203125" style="56"/>
    <col min="8198" max="8198" width="15.6640625" style="56" customWidth="1"/>
    <col min="8199" max="8199" width="17" style="56" customWidth="1"/>
    <col min="8200" max="8200" width="59.33203125" style="56" customWidth="1"/>
    <col min="8201" max="8201" width="17.33203125" style="56" customWidth="1"/>
    <col min="8202" max="8202" width="15.5546875" style="56" customWidth="1"/>
    <col min="8203" max="8203" width="60.33203125" style="56" customWidth="1"/>
    <col min="8204" max="8204" width="12.44140625" style="56" customWidth="1"/>
    <col min="8205" max="8453" width="9.33203125" style="56"/>
    <col min="8454" max="8454" width="15.6640625" style="56" customWidth="1"/>
    <col min="8455" max="8455" width="17" style="56" customWidth="1"/>
    <col min="8456" max="8456" width="59.33203125" style="56" customWidth="1"/>
    <col min="8457" max="8457" width="17.33203125" style="56" customWidth="1"/>
    <col min="8458" max="8458" width="15.5546875" style="56" customWidth="1"/>
    <col min="8459" max="8459" width="60.33203125" style="56" customWidth="1"/>
    <col min="8460" max="8460" width="12.44140625" style="56" customWidth="1"/>
    <col min="8461" max="8709" width="9.33203125" style="56"/>
    <col min="8710" max="8710" width="15.6640625" style="56" customWidth="1"/>
    <col min="8711" max="8711" width="17" style="56" customWidth="1"/>
    <col min="8712" max="8712" width="59.33203125" style="56" customWidth="1"/>
    <col min="8713" max="8713" width="17.33203125" style="56" customWidth="1"/>
    <col min="8714" max="8714" width="15.5546875" style="56" customWidth="1"/>
    <col min="8715" max="8715" width="60.33203125" style="56" customWidth="1"/>
    <col min="8716" max="8716" width="12.44140625" style="56" customWidth="1"/>
    <col min="8717" max="8965" width="9.33203125" style="56"/>
    <col min="8966" max="8966" width="15.6640625" style="56" customWidth="1"/>
    <col min="8967" max="8967" width="17" style="56" customWidth="1"/>
    <col min="8968" max="8968" width="59.33203125" style="56" customWidth="1"/>
    <col min="8969" max="8969" width="17.33203125" style="56" customWidth="1"/>
    <col min="8970" max="8970" width="15.5546875" style="56" customWidth="1"/>
    <col min="8971" max="8971" width="60.33203125" style="56" customWidth="1"/>
    <col min="8972" max="8972" width="12.44140625" style="56" customWidth="1"/>
    <col min="8973" max="9221" width="9.33203125" style="56"/>
    <col min="9222" max="9222" width="15.6640625" style="56" customWidth="1"/>
    <col min="9223" max="9223" width="17" style="56" customWidth="1"/>
    <col min="9224" max="9224" width="59.33203125" style="56" customWidth="1"/>
    <col min="9225" max="9225" width="17.33203125" style="56" customWidth="1"/>
    <col min="9226" max="9226" width="15.5546875" style="56" customWidth="1"/>
    <col min="9227" max="9227" width="60.33203125" style="56" customWidth="1"/>
    <col min="9228" max="9228" width="12.44140625" style="56" customWidth="1"/>
    <col min="9229" max="9477" width="9.33203125" style="56"/>
    <col min="9478" max="9478" width="15.6640625" style="56" customWidth="1"/>
    <col min="9479" max="9479" width="17" style="56" customWidth="1"/>
    <col min="9480" max="9480" width="59.33203125" style="56" customWidth="1"/>
    <col min="9481" max="9481" width="17.33203125" style="56" customWidth="1"/>
    <col min="9482" max="9482" width="15.5546875" style="56" customWidth="1"/>
    <col min="9483" max="9483" width="60.33203125" style="56" customWidth="1"/>
    <col min="9484" max="9484" width="12.44140625" style="56" customWidth="1"/>
    <col min="9485" max="9733" width="9.33203125" style="56"/>
    <col min="9734" max="9734" width="15.6640625" style="56" customWidth="1"/>
    <col min="9735" max="9735" width="17" style="56" customWidth="1"/>
    <col min="9736" max="9736" width="59.33203125" style="56" customWidth="1"/>
    <col min="9737" max="9737" width="17.33203125" style="56" customWidth="1"/>
    <col min="9738" max="9738" width="15.5546875" style="56" customWidth="1"/>
    <col min="9739" max="9739" width="60.33203125" style="56" customWidth="1"/>
    <col min="9740" max="9740" width="12.44140625" style="56" customWidth="1"/>
    <col min="9741" max="9989" width="9.33203125" style="56"/>
    <col min="9990" max="9990" width="15.6640625" style="56" customWidth="1"/>
    <col min="9991" max="9991" width="17" style="56" customWidth="1"/>
    <col min="9992" max="9992" width="59.33203125" style="56" customWidth="1"/>
    <col min="9993" max="9993" width="17.33203125" style="56" customWidth="1"/>
    <col min="9994" max="9994" width="15.5546875" style="56" customWidth="1"/>
    <col min="9995" max="9995" width="60.33203125" style="56" customWidth="1"/>
    <col min="9996" max="9996" width="12.44140625" style="56" customWidth="1"/>
    <col min="9997" max="10245" width="9.33203125" style="56"/>
    <col min="10246" max="10246" width="15.6640625" style="56" customWidth="1"/>
    <col min="10247" max="10247" width="17" style="56" customWidth="1"/>
    <col min="10248" max="10248" width="59.33203125" style="56" customWidth="1"/>
    <col min="10249" max="10249" width="17.33203125" style="56" customWidth="1"/>
    <col min="10250" max="10250" width="15.5546875" style="56" customWidth="1"/>
    <col min="10251" max="10251" width="60.33203125" style="56" customWidth="1"/>
    <col min="10252" max="10252" width="12.44140625" style="56" customWidth="1"/>
    <col min="10253" max="10501" width="9.33203125" style="56"/>
    <col min="10502" max="10502" width="15.6640625" style="56" customWidth="1"/>
    <col min="10503" max="10503" width="17" style="56" customWidth="1"/>
    <col min="10504" max="10504" width="59.33203125" style="56" customWidth="1"/>
    <col min="10505" max="10505" width="17.33203125" style="56" customWidth="1"/>
    <col min="10506" max="10506" width="15.5546875" style="56" customWidth="1"/>
    <col min="10507" max="10507" width="60.33203125" style="56" customWidth="1"/>
    <col min="10508" max="10508" width="12.44140625" style="56" customWidth="1"/>
    <col min="10509" max="10757" width="9.33203125" style="56"/>
    <col min="10758" max="10758" width="15.6640625" style="56" customWidth="1"/>
    <col min="10759" max="10759" width="17" style="56" customWidth="1"/>
    <col min="10760" max="10760" width="59.33203125" style="56" customWidth="1"/>
    <col min="10761" max="10761" width="17.33203125" style="56" customWidth="1"/>
    <col min="10762" max="10762" width="15.5546875" style="56" customWidth="1"/>
    <col min="10763" max="10763" width="60.33203125" style="56" customWidth="1"/>
    <col min="10764" max="10764" width="12.44140625" style="56" customWidth="1"/>
    <col min="10765" max="11013" width="9.33203125" style="56"/>
    <col min="11014" max="11014" width="15.6640625" style="56" customWidth="1"/>
    <col min="11015" max="11015" width="17" style="56" customWidth="1"/>
    <col min="11016" max="11016" width="59.33203125" style="56" customWidth="1"/>
    <col min="11017" max="11017" width="17.33203125" style="56" customWidth="1"/>
    <col min="11018" max="11018" width="15.5546875" style="56" customWidth="1"/>
    <col min="11019" max="11019" width="60.33203125" style="56" customWidth="1"/>
    <col min="11020" max="11020" width="12.44140625" style="56" customWidth="1"/>
    <col min="11021" max="11269" width="9.33203125" style="56"/>
    <col min="11270" max="11270" width="15.6640625" style="56" customWidth="1"/>
    <col min="11271" max="11271" width="17" style="56" customWidth="1"/>
    <col min="11272" max="11272" width="59.33203125" style="56" customWidth="1"/>
    <col min="11273" max="11273" width="17.33203125" style="56" customWidth="1"/>
    <col min="11274" max="11274" width="15.5546875" style="56" customWidth="1"/>
    <col min="11275" max="11275" width="60.33203125" style="56" customWidth="1"/>
    <col min="11276" max="11276" width="12.44140625" style="56" customWidth="1"/>
    <col min="11277" max="11525" width="9.33203125" style="56"/>
    <col min="11526" max="11526" width="15.6640625" style="56" customWidth="1"/>
    <col min="11527" max="11527" width="17" style="56" customWidth="1"/>
    <col min="11528" max="11528" width="59.33203125" style="56" customWidth="1"/>
    <col min="11529" max="11529" width="17.33203125" style="56" customWidth="1"/>
    <col min="11530" max="11530" width="15.5546875" style="56" customWidth="1"/>
    <col min="11531" max="11531" width="60.33203125" style="56" customWidth="1"/>
    <col min="11532" max="11532" width="12.44140625" style="56" customWidth="1"/>
    <col min="11533" max="11781" width="9.33203125" style="56"/>
    <col min="11782" max="11782" width="15.6640625" style="56" customWidth="1"/>
    <col min="11783" max="11783" width="17" style="56" customWidth="1"/>
    <col min="11784" max="11784" width="59.33203125" style="56" customWidth="1"/>
    <col min="11785" max="11785" width="17.33203125" style="56" customWidth="1"/>
    <col min="11786" max="11786" width="15.5546875" style="56" customWidth="1"/>
    <col min="11787" max="11787" width="60.33203125" style="56" customWidth="1"/>
    <col min="11788" max="11788" width="12.44140625" style="56" customWidth="1"/>
    <col min="11789" max="12037" width="9.33203125" style="56"/>
    <col min="12038" max="12038" width="15.6640625" style="56" customWidth="1"/>
    <col min="12039" max="12039" width="17" style="56" customWidth="1"/>
    <col min="12040" max="12040" width="59.33203125" style="56" customWidth="1"/>
    <col min="12041" max="12041" width="17.33203125" style="56" customWidth="1"/>
    <col min="12042" max="12042" width="15.5546875" style="56" customWidth="1"/>
    <col min="12043" max="12043" width="60.33203125" style="56" customWidth="1"/>
    <col min="12044" max="12044" width="12.44140625" style="56" customWidth="1"/>
    <col min="12045" max="12293" width="9.33203125" style="56"/>
    <col min="12294" max="12294" width="15.6640625" style="56" customWidth="1"/>
    <col min="12295" max="12295" width="17" style="56" customWidth="1"/>
    <col min="12296" max="12296" width="59.33203125" style="56" customWidth="1"/>
    <col min="12297" max="12297" width="17.33203125" style="56" customWidth="1"/>
    <col min="12298" max="12298" width="15.5546875" style="56" customWidth="1"/>
    <col min="12299" max="12299" width="60.33203125" style="56" customWidth="1"/>
    <col min="12300" max="12300" width="12.44140625" style="56" customWidth="1"/>
    <col min="12301" max="12549" width="9.33203125" style="56"/>
    <col min="12550" max="12550" width="15.6640625" style="56" customWidth="1"/>
    <col min="12551" max="12551" width="17" style="56" customWidth="1"/>
    <col min="12552" max="12552" width="59.33203125" style="56" customWidth="1"/>
    <col min="12553" max="12553" width="17.33203125" style="56" customWidth="1"/>
    <col min="12554" max="12554" width="15.5546875" style="56" customWidth="1"/>
    <col min="12555" max="12555" width="60.33203125" style="56" customWidth="1"/>
    <col min="12556" max="12556" width="12.44140625" style="56" customWidth="1"/>
    <col min="12557" max="12805" width="9.33203125" style="56"/>
    <col min="12806" max="12806" width="15.6640625" style="56" customWidth="1"/>
    <col min="12807" max="12807" width="17" style="56" customWidth="1"/>
    <col min="12808" max="12808" width="59.33203125" style="56" customWidth="1"/>
    <col min="12809" max="12809" width="17.33203125" style="56" customWidth="1"/>
    <col min="12810" max="12810" width="15.5546875" style="56" customWidth="1"/>
    <col min="12811" max="12811" width="60.33203125" style="56" customWidth="1"/>
    <col min="12812" max="12812" width="12.44140625" style="56" customWidth="1"/>
    <col min="12813" max="13061" width="9.33203125" style="56"/>
    <col min="13062" max="13062" width="15.6640625" style="56" customWidth="1"/>
    <col min="13063" max="13063" width="17" style="56" customWidth="1"/>
    <col min="13064" max="13064" width="59.33203125" style="56" customWidth="1"/>
    <col min="13065" max="13065" width="17.33203125" style="56" customWidth="1"/>
    <col min="13066" max="13066" width="15.5546875" style="56" customWidth="1"/>
    <col min="13067" max="13067" width="60.33203125" style="56" customWidth="1"/>
    <col min="13068" max="13068" width="12.44140625" style="56" customWidth="1"/>
    <col min="13069" max="13317" width="9.33203125" style="56"/>
    <col min="13318" max="13318" width="15.6640625" style="56" customWidth="1"/>
    <col min="13319" max="13319" width="17" style="56" customWidth="1"/>
    <col min="13320" max="13320" width="59.33203125" style="56" customWidth="1"/>
    <col min="13321" max="13321" width="17.33203125" style="56" customWidth="1"/>
    <col min="13322" max="13322" width="15.5546875" style="56" customWidth="1"/>
    <col min="13323" max="13323" width="60.33203125" style="56" customWidth="1"/>
    <col min="13324" max="13324" width="12.44140625" style="56" customWidth="1"/>
    <col min="13325" max="13573" width="9.33203125" style="56"/>
    <col min="13574" max="13574" width="15.6640625" style="56" customWidth="1"/>
    <col min="13575" max="13575" width="17" style="56" customWidth="1"/>
    <col min="13576" max="13576" width="59.33203125" style="56" customWidth="1"/>
    <col min="13577" max="13577" width="17.33203125" style="56" customWidth="1"/>
    <col min="13578" max="13578" width="15.5546875" style="56" customWidth="1"/>
    <col min="13579" max="13579" width="60.33203125" style="56" customWidth="1"/>
    <col min="13580" max="13580" width="12.44140625" style="56" customWidth="1"/>
    <col min="13581" max="13829" width="9.33203125" style="56"/>
    <col min="13830" max="13830" width="15.6640625" style="56" customWidth="1"/>
    <col min="13831" max="13831" width="17" style="56" customWidth="1"/>
    <col min="13832" max="13832" width="59.33203125" style="56" customWidth="1"/>
    <col min="13833" max="13833" width="17.33203125" style="56" customWidth="1"/>
    <col min="13834" max="13834" width="15.5546875" style="56" customWidth="1"/>
    <col min="13835" max="13835" width="60.33203125" style="56" customWidth="1"/>
    <col min="13836" max="13836" width="12.44140625" style="56" customWidth="1"/>
    <col min="13837" max="14085" width="9.33203125" style="56"/>
    <col min="14086" max="14086" width="15.6640625" style="56" customWidth="1"/>
    <col min="14087" max="14087" width="17" style="56" customWidth="1"/>
    <col min="14088" max="14088" width="59.33203125" style="56" customWidth="1"/>
    <col min="14089" max="14089" width="17.33203125" style="56" customWidth="1"/>
    <col min="14090" max="14090" width="15.5546875" style="56" customWidth="1"/>
    <col min="14091" max="14091" width="60.33203125" style="56" customWidth="1"/>
    <col min="14092" max="14092" width="12.44140625" style="56" customWidth="1"/>
    <col min="14093" max="14341" width="9.33203125" style="56"/>
    <col min="14342" max="14342" width="15.6640625" style="56" customWidth="1"/>
    <col min="14343" max="14343" width="17" style="56" customWidth="1"/>
    <col min="14344" max="14344" width="59.33203125" style="56" customWidth="1"/>
    <col min="14345" max="14345" width="17.33203125" style="56" customWidth="1"/>
    <col min="14346" max="14346" width="15.5546875" style="56" customWidth="1"/>
    <col min="14347" max="14347" width="60.33203125" style="56" customWidth="1"/>
    <col min="14348" max="14348" width="12.44140625" style="56" customWidth="1"/>
    <col min="14349" max="14597" width="9.33203125" style="56"/>
    <col min="14598" max="14598" width="15.6640625" style="56" customWidth="1"/>
    <col min="14599" max="14599" width="17" style="56" customWidth="1"/>
    <col min="14600" max="14600" width="59.33203125" style="56" customWidth="1"/>
    <col min="14601" max="14601" width="17.33203125" style="56" customWidth="1"/>
    <col min="14602" max="14602" width="15.5546875" style="56" customWidth="1"/>
    <col min="14603" max="14603" width="60.33203125" style="56" customWidth="1"/>
    <col min="14604" max="14604" width="12.44140625" style="56" customWidth="1"/>
    <col min="14605" max="14853" width="9.33203125" style="56"/>
    <col min="14854" max="14854" width="15.6640625" style="56" customWidth="1"/>
    <col min="14855" max="14855" width="17" style="56" customWidth="1"/>
    <col min="14856" max="14856" width="59.33203125" style="56" customWidth="1"/>
    <col min="14857" max="14857" width="17.33203125" style="56" customWidth="1"/>
    <col min="14858" max="14858" width="15.5546875" style="56" customWidth="1"/>
    <col min="14859" max="14859" width="60.33203125" style="56" customWidth="1"/>
    <col min="14860" max="14860" width="12.44140625" style="56" customWidth="1"/>
    <col min="14861" max="15109" width="9.33203125" style="56"/>
    <col min="15110" max="15110" width="15.6640625" style="56" customWidth="1"/>
    <col min="15111" max="15111" width="17" style="56" customWidth="1"/>
    <col min="15112" max="15112" width="59.33203125" style="56" customWidth="1"/>
    <col min="15113" max="15113" width="17.33203125" style="56" customWidth="1"/>
    <col min="15114" max="15114" width="15.5546875" style="56" customWidth="1"/>
    <col min="15115" max="15115" width="60.33203125" style="56" customWidth="1"/>
    <col min="15116" max="15116" width="12.44140625" style="56" customWidth="1"/>
    <col min="15117" max="15365" width="9.33203125" style="56"/>
    <col min="15366" max="15366" width="15.6640625" style="56" customWidth="1"/>
    <col min="15367" max="15367" width="17" style="56" customWidth="1"/>
    <col min="15368" max="15368" width="59.33203125" style="56" customWidth="1"/>
    <col min="15369" max="15369" width="17.33203125" style="56" customWidth="1"/>
    <col min="15370" max="15370" width="15.5546875" style="56" customWidth="1"/>
    <col min="15371" max="15371" width="60.33203125" style="56" customWidth="1"/>
    <col min="15372" max="15372" width="12.44140625" style="56" customWidth="1"/>
    <col min="15373" max="15621" width="9.33203125" style="56"/>
    <col min="15622" max="15622" width="15.6640625" style="56" customWidth="1"/>
    <col min="15623" max="15623" width="17" style="56" customWidth="1"/>
    <col min="15624" max="15624" width="59.33203125" style="56" customWidth="1"/>
    <col min="15625" max="15625" width="17.33203125" style="56" customWidth="1"/>
    <col min="15626" max="15626" width="15.5546875" style="56" customWidth="1"/>
    <col min="15627" max="15627" width="60.33203125" style="56" customWidth="1"/>
    <col min="15628" max="15628" width="12.44140625" style="56" customWidth="1"/>
    <col min="15629" max="15877" width="9.33203125" style="56"/>
    <col min="15878" max="15878" width="15.6640625" style="56" customWidth="1"/>
    <col min="15879" max="15879" width="17" style="56" customWidth="1"/>
    <col min="15880" max="15880" width="59.33203125" style="56" customWidth="1"/>
    <col min="15881" max="15881" width="17.33203125" style="56" customWidth="1"/>
    <col min="15882" max="15882" width="15.5546875" style="56" customWidth="1"/>
    <col min="15883" max="15883" width="60.33203125" style="56" customWidth="1"/>
    <col min="15884" max="15884" width="12.44140625" style="56" customWidth="1"/>
    <col min="15885" max="16133" width="9.33203125" style="56"/>
    <col min="16134" max="16134" width="15.6640625" style="56" customWidth="1"/>
    <col min="16135" max="16135" width="17" style="56" customWidth="1"/>
    <col min="16136" max="16136" width="59.33203125" style="56" customWidth="1"/>
    <col min="16137" max="16137" width="17.33203125" style="56" customWidth="1"/>
    <col min="16138" max="16138" width="15.5546875" style="56" customWidth="1"/>
    <col min="16139" max="16139" width="60.33203125" style="56" customWidth="1"/>
    <col min="16140" max="16140" width="12.44140625" style="56" customWidth="1"/>
    <col min="16141" max="16384" width="9.33203125" style="56"/>
  </cols>
  <sheetData>
    <row r="1" spans="1:23" s="306" customFormat="1" ht="23.4" customHeight="1">
      <c r="A1" s="600" t="s">
        <v>80</v>
      </c>
      <c r="B1" s="790"/>
      <c r="C1" s="790"/>
      <c r="D1" s="608"/>
      <c r="E1" s="305"/>
      <c r="F1" s="56"/>
      <c r="G1" s="56"/>
      <c r="H1" s="56"/>
      <c r="P1" s="307"/>
    </row>
    <row r="2" spans="1:23" s="306" customFormat="1" ht="23.4" customHeight="1">
      <c r="A2" s="600" t="s">
        <v>1</v>
      </c>
      <c r="B2" s="790"/>
      <c r="C2" s="790"/>
      <c r="D2" s="609"/>
      <c r="E2" s="305"/>
      <c r="F2" s="56"/>
      <c r="G2" s="56"/>
      <c r="H2" s="56"/>
      <c r="P2" s="307"/>
    </row>
    <row r="3" spans="1:23" s="306" customFormat="1" ht="23.4" customHeight="1">
      <c r="A3" s="600" t="s">
        <v>2</v>
      </c>
      <c r="B3" s="790"/>
      <c r="C3" s="790"/>
      <c r="D3" s="609"/>
      <c r="E3" s="305"/>
      <c r="F3" s="56"/>
      <c r="G3" s="56"/>
      <c r="H3" s="56"/>
      <c r="P3" s="307"/>
    </row>
    <row r="4" spans="1:23" s="306" customFormat="1" ht="23.4" customHeight="1" thickBot="1">
      <c r="A4" s="600" t="s">
        <v>2016</v>
      </c>
      <c r="B4" s="790"/>
      <c r="C4" s="790"/>
      <c r="D4" s="610"/>
      <c r="E4" s="308"/>
      <c r="F4" s="309"/>
      <c r="G4" s="309"/>
      <c r="H4" s="309"/>
      <c r="I4" s="309"/>
      <c r="J4" s="309"/>
      <c r="K4" s="309"/>
      <c r="L4" s="309"/>
      <c r="M4" s="309"/>
      <c r="N4" s="309"/>
      <c r="O4" s="309"/>
      <c r="P4" s="310"/>
      <c r="Q4" s="309"/>
      <c r="R4" s="309"/>
      <c r="S4" s="57"/>
      <c r="T4" s="309"/>
      <c r="U4" s="309"/>
      <c r="V4" s="309"/>
      <c r="W4" s="309"/>
    </row>
    <row r="5" spans="1:23" s="61" customFormat="1" ht="51" hidden="1">
      <c r="A5" s="58" t="s">
        <v>81</v>
      </c>
      <c r="B5" s="58"/>
      <c r="C5" s="59" t="s">
        <v>82</v>
      </c>
      <c r="D5" s="59" t="s">
        <v>83</v>
      </c>
      <c r="E5" s="55"/>
      <c r="F5" s="55" t="s">
        <v>84</v>
      </c>
      <c r="G5" s="55"/>
      <c r="H5" s="55"/>
      <c r="I5" s="55" t="s">
        <v>85</v>
      </c>
      <c r="J5" s="55"/>
      <c r="K5" s="311"/>
      <c r="L5" s="311"/>
      <c r="M5" s="311"/>
      <c r="N5" s="650">
        <f>COUNTIF(Issues!$A$8:$A$11,"PI*")</f>
        <v>4</v>
      </c>
      <c r="O5" s="55" t="s">
        <v>85</v>
      </c>
      <c r="P5" s="60"/>
    </row>
    <row r="6" spans="1:23" s="61" customFormat="1" ht="41.55" customHeight="1">
      <c r="A6" s="58" t="s">
        <v>81</v>
      </c>
      <c r="B6" s="58"/>
      <c r="C6" s="498" t="s">
        <v>82</v>
      </c>
      <c r="D6" s="55" t="s">
        <v>83</v>
      </c>
      <c r="E6" s="55"/>
      <c r="F6" s="55" t="s">
        <v>84</v>
      </c>
      <c r="G6" s="55"/>
      <c r="H6" s="55" t="s">
        <v>85</v>
      </c>
      <c r="I6" s="55"/>
      <c r="J6" s="55"/>
      <c r="K6" s="55"/>
      <c r="L6" s="55"/>
      <c r="M6" s="55"/>
      <c r="N6" s="55" t="s">
        <v>85</v>
      </c>
      <c r="O6" s="55"/>
      <c r="P6" s="55"/>
    </row>
    <row r="7" spans="1:23" s="62" customFormat="1" ht="41.4">
      <c r="A7" s="95" t="s">
        <v>86</v>
      </c>
      <c r="B7" s="96" t="s">
        <v>1258</v>
      </c>
      <c r="C7" s="95" t="s">
        <v>1259</v>
      </c>
      <c r="D7" s="96" t="s">
        <v>87</v>
      </c>
      <c r="E7" s="96" t="s">
        <v>1260</v>
      </c>
      <c r="F7" s="96" t="s">
        <v>88</v>
      </c>
      <c r="G7" s="96" t="s">
        <v>89</v>
      </c>
      <c r="H7" s="96" t="s">
        <v>90</v>
      </c>
      <c r="I7" s="96" t="s">
        <v>91</v>
      </c>
      <c r="J7" s="96" t="s">
        <v>2140</v>
      </c>
      <c r="K7" s="96" t="s">
        <v>92</v>
      </c>
      <c r="L7" s="96" t="s">
        <v>1261</v>
      </c>
      <c r="M7" s="96" t="s">
        <v>1262</v>
      </c>
      <c r="N7" s="96" t="s">
        <v>1263</v>
      </c>
      <c r="O7" s="95" t="s">
        <v>93</v>
      </c>
      <c r="P7" s="95" t="s">
        <v>94</v>
      </c>
      <c r="Q7" s="437" t="s">
        <v>1264</v>
      </c>
    </row>
    <row r="8" spans="1:23" ht="124.2">
      <c r="A8" s="645" t="s">
        <v>2141</v>
      </c>
      <c r="B8" s="645"/>
      <c r="C8" s="646">
        <v>46081</v>
      </c>
      <c r="D8" s="647" t="s">
        <v>2015</v>
      </c>
      <c r="E8" s="647"/>
      <c r="F8" s="645"/>
      <c r="G8" s="645">
        <v>1</v>
      </c>
      <c r="H8" s="645">
        <v>1</v>
      </c>
      <c r="I8" s="648" t="s">
        <v>248</v>
      </c>
      <c r="J8" s="648" t="s">
        <v>2142</v>
      </c>
      <c r="K8" s="645" t="s">
        <v>2143</v>
      </c>
      <c r="L8" s="645"/>
      <c r="M8" s="645" t="s">
        <v>2144</v>
      </c>
      <c r="N8" s="646">
        <v>46081</v>
      </c>
      <c r="O8" s="645" t="s">
        <v>2145</v>
      </c>
      <c r="P8" s="645" t="s">
        <v>271</v>
      </c>
      <c r="Q8" s="649" t="s">
        <v>2146</v>
      </c>
    </row>
    <row r="9" spans="1:23" ht="124.2">
      <c r="A9" s="641" t="s">
        <v>2141</v>
      </c>
      <c r="B9" s="641"/>
      <c r="C9" s="642">
        <v>46081</v>
      </c>
      <c r="D9" s="312" t="s">
        <v>2015</v>
      </c>
      <c r="E9" s="312"/>
      <c r="F9" s="641"/>
      <c r="G9" s="641">
        <v>1</v>
      </c>
      <c r="H9" s="641">
        <v>1</v>
      </c>
      <c r="I9" s="643" t="s">
        <v>248</v>
      </c>
      <c r="J9" s="56" t="s">
        <v>2142</v>
      </c>
      <c r="K9" s="641" t="s">
        <v>2143</v>
      </c>
      <c r="L9" s="641"/>
      <c r="M9" s="641" t="s">
        <v>2144</v>
      </c>
      <c r="N9" s="642">
        <v>46081</v>
      </c>
      <c r="O9" s="641" t="s">
        <v>2145</v>
      </c>
      <c r="P9" s="641" t="s">
        <v>271</v>
      </c>
      <c r="Q9" s="644" t="s">
        <v>2146</v>
      </c>
    </row>
    <row r="10" spans="1:23" ht="124.2">
      <c r="A10" s="641" t="s">
        <v>2141</v>
      </c>
      <c r="B10" s="641"/>
      <c r="C10" s="642">
        <v>46081</v>
      </c>
      <c r="D10" s="312" t="s">
        <v>2015</v>
      </c>
      <c r="E10" s="312"/>
      <c r="F10" s="641"/>
      <c r="G10" s="641">
        <v>1</v>
      </c>
      <c r="H10" s="641">
        <v>1</v>
      </c>
      <c r="I10" s="643" t="s">
        <v>248</v>
      </c>
      <c r="J10" s="56" t="s">
        <v>2142</v>
      </c>
      <c r="K10" s="641" t="s">
        <v>2143</v>
      </c>
      <c r="L10" s="641"/>
      <c r="M10" s="641" t="s">
        <v>2144</v>
      </c>
      <c r="N10" s="642">
        <v>46081</v>
      </c>
      <c r="O10" s="641" t="s">
        <v>2145</v>
      </c>
      <c r="P10" s="641" t="s">
        <v>271</v>
      </c>
      <c r="Q10" s="644" t="s">
        <v>2146</v>
      </c>
    </row>
    <row r="11" spans="1:23" ht="124.2">
      <c r="A11" s="641" t="s">
        <v>2141</v>
      </c>
      <c r="B11" s="641"/>
      <c r="C11" s="642">
        <v>46081</v>
      </c>
      <c r="D11" s="312" t="s">
        <v>2015</v>
      </c>
      <c r="E11" s="312"/>
      <c r="F11" s="641"/>
      <c r="G11" s="641">
        <v>1</v>
      </c>
      <c r="H11" s="641">
        <v>1</v>
      </c>
      <c r="I11" s="643" t="s">
        <v>248</v>
      </c>
      <c r="J11" s="56" t="s">
        <v>2142</v>
      </c>
      <c r="K11" s="641" t="s">
        <v>2143</v>
      </c>
      <c r="L11" s="641"/>
      <c r="M11" s="641" t="s">
        <v>2144</v>
      </c>
      <c r="N11" s="642">
        <v>46081</v>
      </c>
      <c r="O11" s="641" t="s">
        <v>2145</v>
      </c>
      <c r="P11" s="641" t="s">
        <v>271</v>
      </c>
      <c r="Q11" s="644" t="s">
        <v>2146</v>
      </c>
    </row>
  </sheetData>
  <dataConsolidate/>
  <mergeCells count="4">
    <mergeCell ref="B1:C1"/>
    <mergeCell ref="B2:C2"/>
    <mergeCell ref="B3:C3"/>
    <mergeCell ref="B4:C4"/>
  </mergeCells>
  <conditionalFormatting sqref="I8:J11">
    <cfRule type="containsText" dxfId="27" priority="181" operator="containsText" text="Low">
      <formula>NOT(ISERROR(SEARCH("Low",I8)))</formula>
    </cfRule>
  </conditionalFormatting>
  <conditionalFormatting sqref="I8:J11">
    <cfRule type="cellIs" dxfId="26" priority="174" operator="equal">
      <formula>"Critical"</formula>
    </cfRule>
    <cfRule type="cellIs" dxfId="25" priority="175" operator="equal">
      <formula>"High"</formula>
    </cfRule>
    <cfRule type="cellIs" dxfId="24" priority="176" operator="equal">
      <formula>"Medium"</formula>
    </cfRule>
    <cfRule type="cellIs" dxfId="23" priority="177" operator="equal">
      <formula>"Low"</formula>
    </cfRule>
  </conditionalFormatting>
  <conditionalFormatting sqref="I8:J11">
    <cfRule type="cellIs" dxfId="22" priority="168" operator="equal">
      <formula>"Low"</formula>
    </cfRule>
    <cfRule type="cellIs" dxfId="21" priority="169" operator="equal">
      <formula>"Medium"</formula>
    </cfRule>
    <cfRule type="cellIs" dxfId="20" priority="170" operator="equal">
      <formula>"High"</formula>
    </cfRule>
  </conditionalFormatting>
  <dataValidations count="1">
    <dataValidation type="list" allowBlank="1" showInputMessage="1" showErrorMessage="1" sqref="S4 O4" xr:uid="{5CA4DBE6-B4D7-4FC6-8375-A1B7A173D59A}">
      <formula1>#REF!</formula1>
    </dataValidation>
  </dataValidations>
  <pageMargins left="0.70866141732283472" right="0.70866141732283472" top="0.74803149606299213" bottom="0.74803149606299213" header="0.31496062992125984" footer="0.31496062992125984"/>
  <pageSetup paperSize="8" scale="65" fitToHeight="0"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0CF17-F6ED-4ED1-8965-4D0576125203}">
  <sheetPr codeName="Sheet9"/>
  <dimension ref="A1:N42"/>
  <sheetViews>
    <sheetView topLeftCell="A20" zoomScaleNormal="100" workbookViewId="0">
      <selection activeCell="F2" sqref="A1:F1048576"/>
    </sheetView>
  </sheetViews>
  <sheetFormatPr defaultRowHeight="13.2"/>
  <cols>
    <col min="1" max="1" width="27.6640625" customWidth="1"/>
    <col min="2" max="2" width="22.109375" customWidth="1"/>
    <col min="3" max="3" width="36.6640625" customWidth="1"/>
    <col min="4" max="4" width="20.88671875" customWidth="1"/>
    <col min="5" max="5" width="22.6640625" customWidth="1"/>
    <col min="6" max="6" width="28.33203125" customWidth="1"/>
    <col min="7" max="7" width="22.6640625" customWidth="1"/>
    <col min="8" max="8" width="23.88671875" customWidth="1"/>
    <col min="9" max="9" width="34" customWidth="1"/>
    <col min="10" max="10" width="20" customWidth="1"/>
    <col min="11" max="11" width="22.6640625" customWidth="1"/>
    <col min="12" max="12" width="18.6640625" customWidth="1"/>
    <col min="13" max="13" width="15.6640625" customWidth="1"/>
    <col min="14" max="14" width="20.33203125" customWidth="1"/>
    <col min="15" max="15" width="19.88671875" customWidth="1"/>
    <col min="16" max="16" width="16.6640625" customWidth="1"/>
    <col min="17" max="17" width="19.6640625" customWidth="1"/>
    <col min="18" max="18" width="19.109375" customWidth="1"/>
    <col min="19" max="19" width="16.88671875" customWidth="1"/>
    <col min="20" max="20" width="16.33203125" customWidth="1"/>
    <col min="22" max="22" width="15.109375" customWidth="1"/>
    <col min="23" max="23" width="14.33203125" customWidth="1"/>
    <col min="24" max="24" width="15.109375" customWidth="1"/>
  </cols>
  <sheetData>
    <row r="1" spans="1:14" ht="97.5" customHeight="1">
      <c r="A1" s="792" t="s">
        <v>880</v>
      </c>
      <c r="B1" s="793"/>
      <c r="C1" s="793"/>
      <c r="D1" s="793"/>
      <c r="E1" s="793"/>
      <c r="F1" s="793"/>
      <c r="G1" s="224"/>
      <c r="H1" s="224"/>
      <c r="I1" s="224"/>
      <c r="J1" s="224"/>
      <c r="K1" s="224"/>
      <c r="L1" s="224"/>
      <c r="M1" s="224"/>
      <c r="N1" s="224"/>
    </row>
    <row r="2" spans="1:14">
      <c r="A2" s="40"/>
      <c r="B2" s="40"/>
      <c r="C2" s="40"/>
      <c r="D2" s="40"/>
      <c r="E2" s="40"/>
      <c r="F2" s="40"/>
    </row>
    <row r="3" spans="1:14" ht="23.25" customHeight="1">
      <c r="A3" s="794" t="s">
        <v>881</v>
      </c>
      <c r="B3" s="794"/>
      <c r="C3" s="794"/>
      <c r="D3" s="794"/>
      <c r="E3" s="794"/>
      <c r="F3" s="794"/>
      <c r="G3" s="223"/>
      <c r="H3" s="223"/>
      <c r="I3" s="223"/>
      <c r="J3" s="223"/>
      <c r="K3" s="223"/>
      <c r="L3" s="223"/>
      <c r="M3" s="223"/>
      <c r="N3" s="223"/>
    </row>
    <row r="4" spans="1:14">
      <c r="A4" s="229"/>
      <c r="B4" s="229"/>
      <c r="C4" s="229"/>
      <c r="D4" s="229"/>
      <c r="E4" s="229"/>
      <c r="F4" s="229"/>
      <c r="G4" s="80"/>
      <c r="H4" s="80"/>
      <c r="I4" s="80"/>
      <c r="J4" s="80"/>
      <c r="K4" s="80"/>
      <c r="L4" s="80"/>
      <c r="M4" s="80"/>
      <c r="N4" s="80"/>
    </row>
    <row r="5" spans="1:14" ht="29.55" customHeight="1">
      <c r="A5" s="795" t="s">
        <v>1041</v>
      </c>
      <c r="B5" s="795"/>
      <c r="C5" s="795"/>
      <c r="D5" s="795"/>
      <c r="E5" s="795"/>
      <c r="F5" s="795"/>
      <c r="G5" s="1"/>
      <c r="H5" s="1"/>
      <c r="I5" s="1"/>
      <c r="J5" s="1"/>
      <c r="K5" s="1"/>
      <c r="L5" s="1"/>
      <c r="M5" s="1"/>
      <c r="N5" s="1"/>
    </row>
    <row r="6" spans="1:14">
      <c r="A6" s="229"/>
      <c r="B6" s="229"/>
      <c r="C6" s="229"/>
      <c r="D6" s="229"/>
      <c r="E6" s="229"/>
      <c r="F6" s="229"/>
      <c r="G6" s="80"/>
      <c r="H6" s="80"/>
      <c r="I6" s="80"/>
      <c r="J6" s="80"/>
      <c r="K6" s="80"/>
      <c r="L6" s="80"/>
      <c r="M6" s="80"/>
      <c r="N6" s="80"/>
    </row>
    <row r="7" spans="1:14" ht="70.5" customHeight="1">
      <c r="A7" s="796" t="s">
        <v>1040</v>
      </c>
      <c r="B7" s="796"/>
      <c r="C7" s="796"/>
      <c r="D7" s="796"/>
      <c r="E7" s="796"/>
      <c r="F7" s="796"/>
      <c r="G7" s="1"/>
      <c r="H7" s="1"/>
      <c r="I7" s="1"/>
      <c r="J7" s="1"/>
      <c r="K7" s="1"/>
      <c r="L7" s="1"/>
      <c r="M7" s="1"/>
      <c r="N7" s="1"/>
    </row>
    <row r="8" spans="1:14">
      <c r="A8" s="229"/>
      <c r="B8" s="229"/>
      <c r="C8" s="229"/>
      <c r="D8" s="229"/>
      <c r="E8" s="229"/>
      <c r="F8" s="229"/>
      <c r="G8" s="80"/>
      <c r="H8" s="80"/>
      <c r="I8" s="80"/>
      <c r="J8" s="80"/>
      <c r="K8" s="80"/>
      <c r="L8" s="80"/>
      <c r="M8" s="80"/>
      <c r="N8" s="80"/>
    </row>
    <row r="9" spans="1:14">
      <c r="A9" s="229"/>
      <c r="B9" s="229"/>
      <c r="C9" s="229"/>
      <c r="D9" s="229"/>
      <c r="E9" s="229"/>
      <c r="F9" s="229"/>
      <c r="G9" s="80"/>
      <c r="H9" s="80"/>
      <c r="I9" s="80"/>
      <c r="J9" s="80"/>
      <c r="K9" s="80"/>
      <c r="L9" s="80"/>
      <c r="M9" s="80"/>
      <c r="N9" s="80"/>
    </row>
    <row r="10" spans="1:14">
      <c r="A10" s="229"/>
      <c r="B10" s="229"/>
      <c r="C10" s="229"/>
      <c r="D10" s="229"/>
      <c r="E10" s="229"/>
      <c r="F10" s="229"/>
      <c r="G10" s="80"/>
      <c r="H10" s="80"/>
      <c r="I10" s="80"/>
      <c r="J10" s="80"/>
      <c r="K10" s="80"/>
      <c r="L10" s="80"/>
      <c r="M10" s="80"/>
      <c r="N10" s="80"/>
    </row>
    <row r="11" spans="1:14" ht="23.25" customHeight="1">
      <c r="A11" s="797" t="s">
        <v>882</v>
      </c>
      <c r="B11" s="797"/>
      <c r="C11" s="797"/>
      <c r="D11" s="797"/>
      <c r="E11" s="797"/>
      <c r="F11" s="797"/>
      <c r="G11" s="223"/>
      <c r="H11" s="223"/>
      <c r="I11" s="223"/>
      <c r="J11" s="223"/>
      <c r="K11" s="223"/>
      <c r="L11" s="223"/>
      <c r="M11" s="223"/>
      <c r="N11" s="223"/>
    </row>
    <row r="12" spans="1:14">
      <c r="A12" s="229"/>
      <c r="B12" s="229"/>
      <c r="C12" s="229"/>
      <c r="D12" s="229"/>
      <c r="E12" s="229"/>
      <c r="F12" s="229"/>
      <c r="G12" s="80"/>
      <c r="H12" s="80"/>
      <c r="I12" s="80"/>
      <c r="J12" s="80"/>
      <c r="K12" s="80"/>
      <c r="L12" s="80"/>
      <c r="M12" s="80"/>
      <c r="N12" s="80"/>
    </row>
    <row r="13" spans="1:14" ht="37.5" customHeight="1">
      <c r="A13" s="798" t="s">
        <v>1037</v>
      </c>
      <c r="B13" s="799"/>
      <c r="C13" s="799"/>
      <c r="D13" s="799"/>
      <c r="E13" s="799"/>
      <c r="F13" s="800"/>
      <c r="G13" s="1"/>
      <c r="H13" s="1"/>
      <c r="I13" s="1"/>
      <c r="J13" s="1"/>
      <c r="K13" s="1"/>
      <c r="L13" s="1"/>
      <c r="M13" s="1"/>
      <c r="N13" s="1"/>
    </row>
    <row r="14" spans="1:14" ht="38.25" customHeight="1">
      <c r="A14" s="798" t="s">
        <v>883</v>
      </c>
      <c r="B14" s="799"/>
      <c r="C14" s="799"/>
      <c r="D14" s="799"/>
      <c r="E14" s="799"/>
      <c r="F14" s="800"/>
      <c r="G14" s="1"/>
      <c r="H14" s="1"/>
      <c r="I14" s="1"/>
      <c r="J14" s="1"/>
      <c r="K14" s="1"/>
      <c r="L14" s="1"/>
      <c r="M14" s="1"/>
      <c r="N14" s="1"/>
    </row>
    <row r="16" spans="1:14" ht="22.8">
      <c r="A16" s="791" t="s">
        <v>877</v>
      </c>
      <c r="B16" s="791"/>
      <c r="C16" s="791"/>
      <c r="D16" s="791"/>
      <c r="E16" s="791"/>
      <c r="F16" s="791"/>
      <c r="G16" s="791"/>
      <c r="H16" s="791"/>
      <c r="I16" s="791"/>
      <c r="J16" s="791"/>
      <c r="K16" s="791"/>
      <c r="L16" s="791"/>
      <c r="M16" s="791"/>
      <c r="N16" s="791"/>
    </row>
    <row r="17" spans="1:14">
      <c r="A17" s="114"/>
    </row>
    <row r="18" spans="1:14" ht="26.4">
      <c r="A18" s="221" t="s">
        <v>658</v>
      </c>
      <c r="B18" s="221" t="s">
        <v>323</v>
      </c>
      <c r="C18" s="221" t="s">
        <v>324</v>
      </c>
      <c r="D18" s="221" t="s">
        <v>394</v>
      </c>
      <c r="E18" s="221" t="s">
        <v>729</v>
      </c>
      <c r="F18" s="221" t="s">
        <v>659</v>
      </c>
      <c r="G18" s="221" t="s">
        <v>730</v>
      </c>
      <c r="H18" s="221" t="s">
        <v>731</v>
      </c>
      <c r="I18" s="221" t="s">
        <v>832</v>
      </c>
      <c r="J18" s="221" t="s">
        <v>342</v>
      </c>
      <c r="K18" s="221" t="s">
        <v>94</v>
      </c>
      <c r="L18" s="221" t="s">
        <v>732</v>
      </c>
      <c r="M18" s="221" t="s">
        <v>873</v>
      </c>
      <c r="N18" s="221" t="s">
        <v>733</v>
      </c>
    </row>
    <row r="19" spans="1:14" ht="64.5" customHeight="1">
      <c r="A19" s="116" t="s">
        <v>734</v>
      </c>
      <c r="B19" s="92" t="s">
        <v>31</v>
      </c>
      <c r="C19" s="92" t="s">
        <v>159</v>
      </c>
      <c r="D19" s="92" t="s">
        <v>667</v>
      </c>
      <c r="E19" s="92" t="s">
        <v>735</v>
      </c>
      <c r="F19" s="201" t="s">
        <v>381</v>
      </c>
      <c r="G19" s="92" t="s">
        <v>736</v>
      </c>
      <c r="H19" s="92" t="s">
        <v>737</v>
      </c>
      <c r="I19" s="116" t="s">
        <v>833</v>
      </c>
      <c r="J19" s="225">
        <v>2.1000000000000001E-2</v>
      </c>
      <c r="K19" s="228" t="s">
        <v>684</v>
      </c>
      <c r="L19" s="92" t="s">
        <v>739</v>
      </c>
      <c r="M19" s="92" t="s">
        <v>874</v>
      </c>
      <c r="N19" s="92" t="s">
        <v>740</v>
      </c>
    </row>
    <row r="20" spans="1:14" ht="39.6">
      <c r="A20" s="109"/>
      <c r="B20" s="92" t="s">
        <v>9</v>
      </c>
      <c r="C20" s="92" t="s">
        <v>159</v>
      </c>
      <c r="D20" s="109"/>
      <c r="E20" s="109"/>
      <c r="F20" s="231"/>
      <c r="G20" s="92" t="s">
        <v>570</v>
      </c>
      <c r="H20" s="92" t="s">
        <v>741</v>
      </c>
      <c r="I20" s="116" t="s">
        <v>834</v>
      </c>
      <c r="J20" s="201">
        <v>0.95</v>
      </c>
      <c r="K20" s="228" t="s">
        <v>684</v>
      </c>
      <c r="L20" s="92" t="s">
        <v>743</v>
      </c>
      <c r="M20" s="92" t="s">
        <v>876</v>
      </c>
      <c r="N20" s="92" t="s">
        <v>744</v>
      </c>
    </row>
    <row r="21" spans="1:14" ht="39.6">
      <c r="A21" s="109"/>
      <c r="B21" s="92" t="s">
        <v>31</v>
      </c>
      <c r="C21" s="92" t="s">
        <v>247</v>
      </c>
      <c r="D21" s="109"/>
      <c r="E21" s="109"/>
      <c r="F21" s="231"/>
      <c r="G21" s="92" t="s">
        <v>669</v>
      </c>
      <c r="H21" s="92" t="s">
        <v>745</v>
      </c>
      <c r="I21" s="116" t="s">
        <v>835</v>
      </c>
      <c r="J21" s="225">
        <v>2.5000000000000001E-2</v>
      </c>
      <c r="K21" s="227" t="s">
        <v>672</v>
      </c>
      <c r="L21" s="92" t="s">
        <v>746</v>
      </c>
      <c r="M21" s="92" t="s">
        <v>874</v>
      </c>
      <c r="N21" s="92" t="s">
        <v>747</v>
      </c>
    </row>
    <row r="22" spans="1:14" ht="52.8">
      <c r="A22" s="116" t="s">
        <v>748</v>
      </c>
      <c r="B22" s="92" t="s">
        <v>31</v>
      </c>
      <c r="C22" s="92" t="s">
        <v>247</v>
      </c>
      <c r="D22" s="92" t="s">
        <v>475</v>
      </c>
      <c r="E22" s="92" t="s">
        <v>749</v>
      </c>
      <c r="F22" s="201" t="s">
        <v>878</v>
      </c>
      <c r="G22" s="92" t="s">
        <v>750</v>
      </c>
      <c r="H22" s="92" t="s">
        <v>751</v>
      </c>
      <c r="I22" s="116" t="s">
        <v>833</v>
      </c>
      <c r="J22" s="201" t="s">
        <v>678</v>
      </c>
      <c r="K22" s="227" t="s">
        <v>672</v>
      </c>
      <c r="L22" s="92" t="s">
        <v>752</v>
      </c>
      <c r="M22" s="92" t="s">
        <v>874</v>
      </c>
      <c r="N22" s="92" t="s">
        <v>836</v>
      </c>
    </row>
    <row r="23" spans="1:14" ht="39.6">
      <c r="A23" s="109"/>
      <c r="B23" s="92" t="s">
        <v>31</v>
      </c>
      <c r="C23" s="92" t="s">
        <v>756</v>
      </c>
      <c r="D23" s="92" t="s">
        <v>530</v>
      </c>
      <c r="E23" s="92" t="s">
        <v>753</v>
      </c>
      <c r="F23" s="201" t="s">
        <v>742</v>
      </c>
      <c r="G23" s="92" t="s">
        <v>754</v>
      </c>
      <c r="H23" s="92" t="s">
        <v>755</v>
      </c>
      <c r="I23" s="116" t="s">
        <v>837</v>
      </c>
      <c r="J23" s="201" t="s">
        <v>757</v>
      </c>
      <c r="K23" s="228" t="s">
        <v>684</v>
      </c>
      <c r="L23" s="92" t="s">
        <v>758</v>
      </c>
      <c r="M23" s="92" t="s">
        <v>876</v>
      </c>
      <c r="N23" s="92" t="s">
        <v>759</v>
      </c>
    </row>
    <row r="24" spans="1:14" ht="39.6">
      <c r="A24" s="116" t="s">
        <v>685</v>
      </c>
      <c r="B24" s="92" t="s">
        <v>28</v>
      </c>
      <c r="C24" s="92" t="s">
        <v>763</v>
      </c>
      <c r="D24" s="92" t="s">
        <v>686</v>
      </c>
      <c r="E24" s="92" t="s">
        <v>760</v>
      </c>
      <c r="F24" s="201" t="s">
        <v>879</v>
      </c>
      <c r="G24" s="92" t="s">
        <v>761</v>
      </c>
      <c r="H24" s="92" t="s">
        <v>762</v>
      </c>
      <c r="I24" s="116" t="s">
        <v>838</v>
      </c>
      <c r="J24" s="201">
        <v>0.8</v>
      </c>
      <c r="K24" s="227" t="s">
        <v>672</v>
      </c>
      <c r="L24" s="92" t="s">
        <v>764</v>
      </c>
      <c r="M24" s="92" t="s">
        <v>875</v>
      </c>
      <c r="N24" s="92" t="s">
        <v>765</v>
      </c>
    </row>
    <row r="25" spans="1:14" ht="26.4">
      <c r="A25" s="109"/>
      <c r="B25" s="92" t="s">
        <v>28</v>
      </c>
      <c r="C25" s="92" t="s">
        <v>763</v>
      </c>
      <c r="D25" s="109"/>
      <c r="E25" s="109"/>
      <c r="F25" s="231"/>
      <c r="G25" s="92" t="s">
        <v>370</v>
      </c>
      <c r="H25" s="92" t="s">
        <v>766</v>
      </c>
      <c r="I25" s="116" t="s">
        <v>839</v>
      </c>
      <c r="J25" s="201">
        <v>12</v>
      </c>
      <c r="K25" s="227" t="s">
        <v>672</v>
      </c>
      <c r="L25" s="92" t="s">
        <v>767</v>
      </c>
      <c r="M25" s="92" t="s">
        <v>875</v>
      </c>
      <c r="N25" s="92" t="s">
        <v>768</v>
      </c>
    </row>
    <row r="26" spans="1:14" ht="39.6">
      <c r="A26" s="109"/>
      <c r="B26" s="92" t="s">
        <v>28</v>
      </c>
      <c r="C26" s="92" t="s">
        <v>763</v>
      </c>
      <c r="D26" s="109"/>
      <c r="E26" s="109"/>
      <c r="F26" s="231"/>
      <c r="G26" s="92" t="s">
        <v>689</v>
      </c>
      <c r="H26" s="92" t="s">
        <v>769</v>
      </c>
      <c r="I26" s="116" t="s">
        <v>840</v>
      </c>
      <c r="J26" s="226">
        <v>0.94</v>
      </c>
      <c r="K26" s="227" t="s">
        <v>672</v>
      </c>
      <c r="L26" s="92" t="s">
        <v>770</v>
      </c>
      <c r="M26" s="92" t="s">
        <v>876</v>
      </c>
      <c r="N26" s="92" t="s">
        <v>771</v>
      </c>
    </row>
    <row r="27" spans="1:14" ht="39.6">
      <c r="A27" s="116" t="s">
        <v>772</v>
      </c>
      <c r="B27" s="92" t="s">
        <v>23</v>
      </c>
      <c r="C27" s="92" t="s">
        <v>763</v>
      </c>
      <c r="D27" s="92" t="s">
        <v>418</v>
      </c>
      <c r="E27" s="92" t="s">
        <v>773</v>
      </c>
      <c r="F27" s="226">
        <v>1</v>
      </c>
      <c r="G27" s="92" t="s">
        <v>361</v>
      </c>
      <c r="H27" s="92" t="s">
        <v>766</v>
      </c>
      <c r="I27" s="116" t="s">
        <v>841</v>
      </c>
      <c r="J27" s="201">
        <v>4</v>
      </c>
      <c r="K27" s="227" t="s">
        <v>672</v>
      </c>
      <c r="L27" s="92" t="s">
        <v>774</v>
      </c>
      <c r="M27" s="92" t="s">
        <v>876</v>
      </c>
      <c r="N27" s="92" t="s">
        <v>775</v>
      </c>
    </row>
    <row r="28" spans="1:14" ht="26.4">
      <c r="A28" s="109"/>
      <c r="B28" s="92" t="s">
        <v>612</v>
      </c>
      <c r="C28" s="92" t="s">
        <v>247</v>
      </c>
      <c r="D28" s="109"/>
      <c r="E28" s="109"/>
      <c r="F28" s="231"/>
      <c r="G28" s="92" t="s">
        <v>776</v>
      </c>
      <c r="H28" s="92" t="s">
        <v>777</v>
      </c>
      <c r="I28" s="116" t="s">
        <v>842</v>
      </c>
      <c r="J28" s="201" t="s">
        <v>778</v>
      </c>
      <c r="K28" s="227" t="s">
        <v>672</v>
      </c>
      <c r="L28" s="92" t="s">
        <v>779</v>
      </c>
      <c r="M28" s="92" t="s">
        <v>876</v>
      </c>
      <c r="N28" s="92" t="s">
        <v>780</v>
      </c>
    </row>
    <row r="29" spans="1:14" ht="39.6">
      <c r="A29" s="109"/>
      <c r="B29" s="92" t="s">
        <v>783</v>
      </c>
      <c r="C29" s="92" t="s">
        <v>763</v>
      </c>
      <c r="D29" s="109"/>
      <c r="E29" s="109"/>
      <c r="F29" s="231"/>
      <c r="G29" s="92" t="s">
        <v>781</v>
      </c>
      <c r="H29" s="92" t="s">
        <v>782</v>
      </c>
      <c r="I29" s="116" t="s">
        <v>843</v>
      </c>
      <c r="J29" s="201" t="s">
        <v>784</v>
      </c>
      <c r="K29" s="228" t="s">
        <v>684</v>
      </c>
      <c r="L29" s="92" t="s">
        <v>785</v>
      </c>
      <c r="M29" s="92" t="s">
        <v>874</v>
      </c>
      <c r="N29" s="92" t="s">
        <v>786</v>
      </c>
    </row>
    <row r="30" spans="1:14" ht="39.6">
      <c r="A30" s="116" t="s">
        <v>787</v>
      </c>
      <c r="B30" s="92" t="s">
        <v>33</v>
      </c>
      <c r="C30" s="92" t="s">
        <v>159</v>
      </c>
      <c r="D30" s="92" t="s">
        <v>695</v>
      </c>
      <c r="E30" s="92" t="s">
        <v>788</v>
      </c>
      <c r="F30" s="201" t="s">
        <v>696</v>
      </c>
      <c r="G30" s="92" t="s">
        <v>789</v>
      </c>
      <c r="H30" s="92" t="s">
        <v>790</v>
      </c>
      <c r="I30" s="116" t="s">
        <v>844</v>
      </c>
      <c r="J30" s="226">
        <v>0.82</v>
      </c>
      <c r="K30" s="227" t="s">
        <v>672</v>
      </c>
      <c r="L30" s="92" t="s">
        <v>791</v>
      </c>
      <c r="M30" s="92" t="s">
        <v>876</v>
      </c>
      <c r="N30" s="92" t="s">
        <v>792</v>
      </c>
    </row>
    <row r="31" spans="1:14" ht="39.6">
      <c r="A31" s="109"/>
      <c r="B31" s="92" t="s">
        <v>33</v>
      </c>
      <c r="C31" s="92" t="s">
        <v>159</v>
      </c>
      <c r="D31" s="92" t="s">
        <v>793</v>
      </c>
      <c r="E31" s="92" t="s">
        <v>794</v>
      </c>
      <c r="F31" s="201" t="s">
        <v>795</v>
      </c>
      <c r="G31" s="92" t="s">
        <v>796</v>
      </c>
      <c r="H31" s="92" t="s">
        <v>797</v>
      </c>
      <c r="I31" s="116" t="s">
        <v>845</v>
      </c>
      <c r="J31" s="226">
        <v>0.15</v>
      </c>
      <c r="K31" s="227" t="s">
        <v>672</v>
      </c>
      <c r="L31" s="92" t="s">
        <v>798</v>
      </c>
      <c r="M31" s="92" t="s">
        <v>874</v>
      </c>
      <c r="N31" s="92" t="s">
        <v>799</v>
      </c>
    </row>
    <row r="32" spans="1:14" ht="39.6">
      <c r="A32" s="109"/>
      <c r="B32" s="92" t="s">
        <v>33</v>
      </c>
      <c r="C32" s="92" t="s">
        <v>159</v>
      </c>
      <c r="D32" s="109"/>
      <c r="E32" s="109"/>
      <c r="F32" s="231"/>
      <c r="G32" s="92" t="s">
        <v>385</v>
      </c>
      <c r="H32" s="92" t="s">
        <v>766</v>
      </c>
      <c r="I32" s="116" t="s">
        <v>841</v>
      </c>
      <c r="J32" s="201">
        <v>4</v>
      </c>
      <c r="K32" s="227" t="s">
        <v>672</v>
      </c>
      <c r="L32" s="92" t="s">
        <v>800</v>
      </c>
      <c r="M32" s="92" t="s">
        <v>874</v>
      </c>
      <c r="N32" s="92" t="s">
        <v>775</v>
      </c>
    </row>
    <row r="33" spans="1:14" ht="66">
      <c r="A33" s="116" t="s">
        <v>801</v>
      </c>
      <c r="B33" s="92" t="s">
        <v>9</v>
      </c>
      <c r="C33" s="92" t="s">
        <v>247</v>
      </c>
      <c r="D33" s="92" t="s">
        <v>699</v>
      </c>
      <c r="E33" s="92" t="s">
        <v>802</v>
      </c>
      <c r="F33" s="201" t="s">
        <v>696</v>
      </c>
      <c r="G33" s="92" t="s">
        <v>378</v>
      </c>
      <c r="H33" s="92" t="s">
        <v>766</v>
      </c>
      <c r="I33" s="116" t="s">
        <v>841</v>
      </c>
      <c r="J33" s="201">
        <v>3</v>
      </c>
      <c r="K33" s="228" t="s">
        <v>684</v>
      </c>
      <c r="L33" s="92" t="s">
        <v>803</v>
      </c>
      <c r="M33" s="92" t="s">
        <v>874</v>
      </c>
      <c r="N33" s="92" t="s">
        <v>775</v>
      </c>
    </row>
    <row r="34" spans="1:14" ht="39.6">
      <c r="A34" s="109"/>
      <c r="B34" s="92" t="s">
        <v>9</v>
      </c>
      <c r="C34" s="92" t="s">
        <v>247</v>
      </c>
      <c r="D34" s="92" t="s">
        <v>380</v>
      </c>
      <c r="E34" s="92" t="s">
        <v>804</v>
      </c>
      <c r="F34" s="201" t="s">
        <v>795</v>
      </c>
      <c r="G34" s="92" t="s">
        <v>805</v>
      </c>
      <c r="H34" s="92" t="s">
        <v>806</v>
      </c>
      <c r="I34" s="116" t="s">
        <v>846</v>
      </c>
      <c r="J34" s="226">
        <v>0.85</v>
      </c>
      <c r="K34" s="227" t="s">
        <v>672</v>
      </c>
      <c r="L34" s="92" t="s">
        <v>807</v>
      </c>
      <c r="M34" s="92" t="s">
        <v>874</v>
      </c>
      <c r="N34" s="92" t="s">
        <v>808</v>
      </c>
    </row>
    <row r="35" spans="1:14" ht="66">
      <c r="A35" s="116" t="s">
        <v>809</v>
      </c>
      <c r="B35" s="92" t="s">
        <v>23</v>
      </c>
      <c r="C35" s="92" t="s">
        <v>247</v>
      </c>
      <c r="D35" s="92" t="s">
        <v>810</v>
      </c>
      <c r="E35" s="92" t="s">
        <v>811</v>
      </c>
      <c r="F35" s="201" t="s">
        <v>381</v>
      </c>
      <c r="G35" s="92" t="s">
        <v>812</v>
      </c>
      <c r="H35" s="92" t="s">
        <v>813</v>
      </c>
      <c r="I35" s="116" t="s">
        <v>847</v>
      </c>
      <c r="J35" s="226">
        <v>0.87</v>
      </c>
      <c r="K35" s="227" t="s">
        <v>672</v>
      </c>
      <c r="L35" s="92" t="s">
        <v>814</v>
      </c>
      <c r="M35" s="92" t="s">
        <v>874</v>
      </c>
      <c r="N35" s="92" t="s">
        <v>815</v>
      </c>
    </row>
    <row r="36" spans="1:14" ht="52.8">
      <c r="A36" s="109"/>
      <c r="B36" s="92" t="s">
        <v>23</v>
      </c>
      <c r="C36" s="92" t="s">
        <v>247</v>
      </c>
      <c r="D36" s="109"/>
      <c r="E36" s="109"/>
      <c r="F36" s="231"/>
      <c r="G36" s="92" t="s">
        <v>816</v>
      </c>
      <c r="H36" s="92" t="s">
        <v>817</v>
      </c>
      <c r="I36" s="116" t="s">
        <v>848</v>
      </c>
      <c r="J36" s="201" t="s">
        <v>818</v>
      </c>
      <c r="K36" s="227" t="s">
        <v>672</v>
      </c>
      <c r="L36" s="92" t="s">
        <v>819</v>
      </c>
      <c r="M36" s="92" t="s">
        <v>876</v>
      </c>
      <c r="N36" s="92" t="s">
        <v>820</v>
      </c>
    </row>
    <row r="37" spans="1:14" ht="66">
      <c r="A37" s="116" t="s">
        <v>821</v>
      </c>
      <c r="B37" s="92" t="s">
        <v>31</v>
      </c>
      <c r="C37" s="92" t="s">
        <v>159</v>
      </c>
      <c r="D37" s="92" t="s">
        <v>822</v>
      </c>
      <c r="E37" s="92" t="s">
        <v>823</v>
      </c>
      <c r="F37" s="201" t="s">
        <v>824</v>
      </c>
      <c r="G37" s="92" t="s">
        <v>825</v>
      </c>
      <c r="H37" s="92" t="s">
        <v>766</v>
      </c>
      <c r="I37" s="116" t="s">
        <v>839</v>
      </c>
      <c r="J37" s="201" t="s">
        <v>668</v>
      </c>
      <c r="K37" s="92" t="s">
        <v>826</v>
      </c>
      <c r="L37" s="92" t="s">
        <v>827</v>
      </c>
      <c r="M37" s="92" t="s">
        <v>874</v>
      </c>
      <c r="N37" s="92" t="s">
        <v>768</v>
      </c>
    </row>
    <row r="38" spans="1:14" ht="39.6">
      <c r="A38" s="109"/>
      <c r="B38" s="92" t="s">
        <v>31</v>
      </c>
      <c r="C38" s="92" t="s">
        <v>159</v>
      </c>
      <c r="D38" s="109"/>
      <c r="E38" s="109"/>
      <c r="F38" s="231"/>
      <c r="G38" s="92" t="s">
        <v>828</v>
      </c>
      <c r="H38" s="92" t="s">
        <v>829</v>
      </c>
      <c r="I38" s="116" t="s">
        <v>849</v>
      </c>
      <c r="J38" s="201" t="s">
        <v>668</v>
      </c>
      <c r="K38" s="92" t="s">
        <v>826</v>
      </c>
      <c r="L38" s="92" t="s">
        <v>830</v>
      </c>
      <c r="M38" s="92" t="s">
        <v>874</v>
      </c>
      <c r="N38" s="92" t="s">
        <v>831</v>
      </c>
    </row>
    <row r="39" spans="1:14" ht="52.8">
      <c r="A39" s="116" t="s">
        <v>850</v>
      </c>
      <c r="B39" s="92" t="s">
        <v>855</v>
      </c>
      <c r="C39" s="92" t="s">
        <v>247</v>
      </c>
      <c r="D39" s="92" t="s">
        <v>851</v>
      </c>
      <c r="E39" s="92" t="s">
        <v>852</v>
      </c>
      <c r="F39" s="201" t="s">
        <v>381</v>
      </c>
      <c r="G39" s="92" t="s">
        <v>853</v>
      </c>
      <c r="H39" s="92" t="s">
        <v>854</v>
      </c>
      <c r="I39" s="116" t="s">
        <v>847</v>
      </c>
      <c r="J39" s="201" t="s">
        <v>668</v>
      </c>
      <c r="K39" s="92" t="s">
        <v>826</v>
      </c>
      <c r="L39" s="92" t="s">
        <v>856</v>
      </c>
      <c r="M39" s="92" t="s">
        <v>874</v>
      </c>
      <c r="N39" s="92" t="s">
        <v>857</v>
      </c>
    </row>
    <row r="40" spans="1:14" ht="39.6">
      <c r="A40" s="109"/>
      <c r="B40" s="92" t="s">
        <v>855</v>
      </c>
      <c r="C40" s="92" t="s">
        <v>247</v>
      </c>
      <c r="D40" s="109"/>
      <c r="E40" s="109"/>
      <c r="F40" s="231"/>
      <c r="G40" s="92" t="s">
        <v>858</v>
      </c>
      <c r="H40" s="92" t="s">
        <v>766</v>
      </c>
      <c r="I40" s="116" t="s">
        <v>841</v>
      </c>
      <c r="J40" s="201" t="s">
        <v>668</v>
      </c>
      <c r="K40" s="92" t="s">
        <v>826</v>
      </c>
      <c r="L40" s="92" t="s">
        <v>859</v>
      </c>
      <c r="M40" s="92" t="s">
        <v>874</v>
      </c>
      <c r="N40" s="92" t="s">
        <v>775</v>
      </c>
    </row>
    <row r="41" spans="1:14" ht="66">
      <c r="A41" s="116" t="s">
        <v>860</v>
      </c>
      <c r="B41" s="92" t="s">
        <v>9</v>
      </c>
      <c r="C41" s="92" t="s">
        <v>159</v>
      </c>
      <c r="D41" s="92" t="s">
        <v>861</v>
      </c>
      <c r="E41" s="92" t="s">
        <v>862</v>
      </c>
      <c r="F41" s="201" t="s">
        <v>863</v>
      </c>
      <c r="G41" s="92" t="s">
        <v>864</v>
      </c>
      <c r="H41" s="92" t="s">
        <v>865</v>
      </c>
      <c r="I41" s="116" t="s">
        <v>849</v>
      </c>
      <c r="J41" s="201" t="s">
        <v>668</v>
      </c>
      <c r="K41" s="92" t="s">
        <v>826</v>
      </c>
      <c r="L41" s="92" t="s">
        <v>866</v>
      </c>
      <c r="M41" s="92" t="s">
        <v>876</v>
      </c>
      <c r="N41" s="92" t="s">
        <v>867</v>
      </c>
    </row>
    <row r="42" spans="1:14" ht="52.8">
      <c r="A42" s="109"/>
      <c r="B42" s="92" t="s">
        <v>9</v>
      </c>
      <c r="C42" s="92" t="s">
        <v>159</v>
      </c>
      <c r="D42" s="109"/>
      <c r="E42" s="109"/>
      <c r="F42" s="231"/>
      <c r="G42" s="92" t="s">
        <v>868</v>
      </c>
      <c r="H42" s="92" t="s">
        <v>869</v>
      </c>
      <c r="I42" s="116" t="s">
        <v>870</v>
      </c>
      <c r="J42" s="201" t="s">
        <v>668</v>
      </c>
      <c r="K42" s="92" t="s">
        <v>826</v>
      </c>
      <c r="L42" s="92" t="s">
        <v>871</v>
      </c>
      <c r="M42" s="92" t="s">
        <v>874</v>
      </c>
      <c r="N42" s="92" t="s">
        <v>872</v>
      </c>
    </row>
  </sheetData>
  <autoFilter ref="A18:N42" xr:uid="{EE40CF17-F6ED-4ED1-8965-4D0576125203}"/>
  <mergeCells count="8">
    <mergeCell ref="A16:N16"/>
    <mergeCell ref="A1:F1"/>
    <mergeCell ref="A3:F3"/>
    <mergeCell ref="A5:F5"/>
    <mergeCell ref="A7:F7"/>
    <mergeCell ref="A11:F11"/>
    <mergeCell ref="A13:F13"/>
    <mergeCell ref="A14:F1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3:N14"/>
  <sheetViews>
    <sheetView workbookViewId="0">
      <selection activeCell="C6" sqref="C6:H6"/>
    </sheetView>
  </sheetViews>
  <sheetFormatPr defaultRowHeight="13.2"/>
  <cols>
    <col min="1" max="1" width="12.6640625" customWidth="1"/>
    <col min="2" max="2" width="15.33203125" customWidth="1"/>
    <col min="3" max="3" width="41.6640625" customWidth="1"/>
    <col min="4" max="4" width="79.6640625" customWidth="1"/>
    <col min="5" max="5" width="78.6640625" customWidth="1"/>
    <col min="6" max="6" width="19.33203125" customWidth="1"/>
    <col min="7" max="7" width="16.33203125" customWidth="1"/>
    <col min="8" max="8" width="20.33203125" customWidth="1"/>
    <col min="9" max="9" width="18.33203125" customWidth="1"/>
    <col min="10" max="10" width="15.6640625" customWidth="1"/>
    <col min="11" max="11" width="23.33203125" customWidth="1"/>
    <col min="12" max="12" width="18.33203125" customWidth="1"/>
    <col min="13" max="13" width="12.33203125" customWidth="1"/>
    <col min="14" max="14" width="17.33203125" customWidth="1"/>
  </cols>
  <sheetData>
    <row r="3" spans="1:14" ht="13.8" thickBot="1"/>
    <row r="4" spans="1:14" hidden="1">
      <c r="B4" s="41" t="s">
        <v>60</v>
      </c>
    </row>
    <row r="5" spans="1:14" ht="15.6" thickBot="1">
      <c r="B5" s="50" t="s">
        <v>61</v>
      </c>
      <c r="C5" s="801" t="s">
        <v>62</v>
      </c>
      <c r="D5" s="801"/>
      <c r="E5" s="801"/>
      <c r="F5" s="51"/>
      <c r="G5" s="51"/>
      <c r="H5" s="51"/>
    </row>
    <row r="6" spans="1:14" ht="16.5" customHeight="1">
      <c r="B6" s="51"/>
      <c r="C6" s="802" t="str">
        <f>IF(COUNTA(qryData_Controls[Risk ref])&lt;1,"No additional controls added to the controls table","")</f>
        <v/>
      </c>
      <c r="D6" s="802"/>
      <c r="E6" s="802"/>
      <c r="F6" s="802"/>
      <c r="G6" s="802"/>
      <c r="H6" s="802"/>
    </row>
    <row r="10" spans="1:14" ht="26.4">
      <c r="A10" t="s">
        <v>63</v>
      </c>
      <c r="B10" t="s">
        <v>8</v>
      </c>
      <c r="C10" t="s">
        <v>11</v>
      </c>
      <c r="D10" t="s">
        <v>64</v>
      </c>
      <c r="E10" t="s">
        <v>16</v>
      </c>
      <c r="F10" t="s">
        <v>17</v>
      </c>
      <c r="G10" t="s">
        <v>65</v>
      </c>
      <c r="H10" t="s">
        <v>66</v>
      </c>
      <c r="I10" t="s">
        <v>18</v>
      </c>
      <c r="J10" t="s">
        <v>19</v>
      </c>
      <c r="K10" t="s">
        <v>67</v>
      </c>
      <c r="L10" t="s">
        <v>20</v>
      </c>
      <c r="M10" t="s">
        <v>21</v>
      </c>
      <c r="N10" t="s">
        <v>68</v>
      </c>
    </row>
    <row r="11" spans="1:14" ht="39.6">
      <c r="A11" t="s">
        <v>69</v>
      </c>
      <c r="B11" t="s">
        <v>70</v>
      </c>
      <c r="C11" t="s">
        <v>71</v>
      </c>
      <c r="D11" t="s">
        <v>72</v>
      </c>
      <c r="E11" t="s">
        <v>73</v>
      </c>
      <c r="F11" t="s">
        <v>45</v>
      </c>
      <c r="G11">
        <v>4</v>
      </c>
      <c r="H11">
        <v>2</v>
      </c>
      <c r="I11" t="s">
        <v>59</v>
      </c>
      <c r="J11" t="s">
        <v>42</v>
      </c>
      <c r="N11" t="s">
        <v>70</v>
      </c>
    </row>
    <row r="12" spans="1:14" ht="39.6">
      <c r="A12" t="s">
        <v>74</v>
      </c>
      <c r="B12" t="s">
        <v>70</v>
      </c>
      <c r="C12" t="s">
        <v>71</v>
      </c>
      <c r="D12" t="s">
        <v>72</v>
      </c>
      <c r="E12" t="s">
        <v>75</v>
      </c>
      <c r="F12" t="s">
        <v>24</v>
      </c>
      <c r="G12">
        <v>4</v>
      </c>
      <c r="H12">
        <v>2</v>
      </c>
      <c r="I12" t="s">
        <v>59</v>
      </c>
      <c r="J12" t="s">
        <v>42</v>
      </c>
      <c r="N12" t="s">
        <v>70</v>
      </c>
    </row>
    <row r="13" spans="1:14" ht="39.6">
      <c r="A13" t="s">
        <v>76</v>
      </c>
      <c r="B13" t="s">
        <v>70</v>
      </c>
      <c r="C13" t="s">
        <v>71</v>
      </c>
      <c r="D13" t="s">
        <v>72</v>
      </c>
      <c r="E13" t="s">
        <v>77</v>
      </c>
      <c r="F13" t="s">
        <v>51</v>
      </c>
      <c r="G13">
        <v>4</v>
      </c>
      <c r="H13">
        <v>2</v>
      </c>
      <c r="I13" t="s">
        <v>59</v>
      </c>
      <c r="J13" t="s">
        <v>42</v>
      </c>
      <c r="N13" t="s">
        <v>70</v>
      </c>
    </row>
    <row r="14" spans="1:14" ht="39.6">
      <c r="A14" t="s">
        <v>78</v>
      </c>
      <c r="B14" t="s">
        <v>70</v>
      </c>
      <c r="C14" t="s">
        <v>71</v>
      </c>
      <c r="D14" t="s">
        <v>72</v>
      </c>
      <c r="E14" t="s">
        <v>79</v>
      </c>
      <c r="F14" t="s">
        <v>24</v>
      </c>
      <c r="G14">
        <v>4</v>
      </c>
      <c r="H14">
        <v>2</v>
      </c>
      <c r="I14" t="s">
        <v>59</v>
      </c>
      <c r="J14" t="s">
        <v>42</v>
      </c>
      <c r="N14" t="s">
        <v>70</v>
      </c>
    </row>
  </sheetData>
  <mergeCells count="2">
    <mergeCell ref="C5:E5"/>
    <mergeCell ref="C6:H6"/>
  </mergeCells>
  <dataValidations count="1">
    <dataValidation type="list" allowBlank="1" showInputMessage="1" showErrorMessage="1" promptTitle="Data Update" prompt="Please left click and refresh table if required" sqref="B5" xr:uid="{00000000-0002-0000-0100-000000000000}">
      <formula1>rngRisk_Refs</formula1>
    </dataValidation>
  </dataValidations>
  <pageMargins left="0.7" right="0.7" top="0.75" bottom="0.75" header="0.3" footer="0.3"/>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72EAA-7DA2-4946-A2BE-D83884F51CF5}">
  <sheetPr codeName="Sheet10"/>
  <dimension ref="A1:J84"/>
  <sheetViews>
    <sheetView topLeftCell="A57" workbookViewId="0">
      <selection activeCell="A5" sqref="A5"/>
    </sheetView>
  </sheetViews>
  <sheetFormatPr defaultRowHeight="13.2"/>
  <cols>
    <col min="1" max="1" width="84.6640625" customWidth="1"/>
    <col min="2" max="2" width="4.33203125" customWidth="1"/>
    <col min="3" max="3" width="4.109375" customWidth="1"/>
    <col min="4" max="4" width="18.109375" customWidth="1"/>
    <col min="5" max="5" width="20.88671875" customWidth="1"/>
    <col min="6" max="6" width="23.6640625" customWidth="1"/>
    <col min="7" max="7" width="28.6640625" customWidth="1"/>
    <col min="8" max="8" width="23.88671875" customWidth="1"/>
    <col min="9" max="9" width="19.109375" customWidth="1"/>
    <col min="10" max="10" width="14.88671875" customWidth="1"/>
  </cols>
  <sheetData>
    <row r="1" spans="1:10" ht="44.25" customHeight="1">
      <c r="A1" s="198" t="s">
        <v>280</v>
      </c>
      <c r="D1" s="805" t="s">
        <v>322</v>
      </c>
      <c r="E1" s="805"/>
      <c r="F1" s="805"/>
      <c r="G1" s="805"/>
    </row>
    <row r="2" spans="1:10" ht="20.399999999999999">
      <c r="A2" s="197"/>
      <c r="D2" s="114"/>
    </row>
    <row r="3" spans="1:10" ht="21">
      <c r="A3" s="198" t="s">
        <v>281</v>
      </c>
      <c r="D3" s="115" t="s">
        <v>323</v>
      </c>
      <c r="E3" s="115" t="s">
        <v>324</v>
      </c>
      <c r="F3" s="115" t="s">
        <v>325</v>
      </c>
      <c r="G3" s="115" t="s">
        <v>326</v>
      </c>
    </row>
    <row r="4" spans="1:10" ht="26.4">
      <c r="A4" s="204"/>
      <c r="D4" s="116" t="s">
        <v>31</v>
      </c>
      <c r="E4" s="92" t="s">
        <v>327</v>
      </c>
      <c r="F4" s="92" t="s">
        <v>328</v>
      </c>
      <c r="G4" s="92" t="s">
        <v>329</v>
      </c>
    </row>
    <row r="5" spans="1:10" ht="26.4">
      <c r="A5" s="198" t="s">
        <v>282</v>
      </c>
      <c r="D5" s="116" t="s">
        <v>23</v>
      </c>
      <c r="E5" s="92" t="s">
        <v>330</v>
      </c>
      <c r="F5" s="92" t="s">
        <v>331</v>
      </c>
      <c r="G5" s="92" t="s">
        <v>332</v>
      </c>
    </row>
    <row r="6" spans="1:10" ht="26.4">
      <c r="D6" s="116" t="s">
        <v>28</v>
      </c>
      <c r="E6" s="92" t="s">
        <v>330</v>
      </c>
      <c r="F6" s="92" t="s">
        <v>333</v>
      </c>
      <c r="G6" s="92" t="s">
        <v>334</v>
      </c>
    </row>
    <row r="7" spans="1:10" ht="39.75" customHeight="1">
      <c r="A7" s="111" t="s">
        <v>283</v>
      </c>
      <c r="D7" s="116" t="s">
        <v>9</v>
      </c>
      <c r="E7" s="92" t="s">
        <v>335</v>
      </c>
      <c r="F7" s="92" t="s">
        <v>336</v>
      </c>
      <c r="G7" s="92" t="s">
        <v>337</v>
      </c>
    </row>
    <row r="8" spans="1:10" ht="25.05" customHeight="1">
      <c r="D8" s="116" t="s">
        <v>33</v>
      </c>
      <c r="E8" s="92" t="s">
        <v>335</v>
      </c>
      <c r="F8" s="92" t="s">
        <v>338</v>
      </c>
      <c r="G8" s="92" t="s">
        <v>337</v>
      </c>
    </row>
    <row r="9" spans="1:10" ht="41.55" customHeight="1">
      <c r="A9" t="s">
        <v>284</v>
      </c>
    </row>
    <row r="11" spans="1:10" ht="17.399999999999999">
      <c r="A11" s="111" t="s">
        <v>285</v>
      </c>
    </row>
    <row r="12" spans="1:10" ht="37.200000000000003">
      <c r="D12" s="804"/>
      <c r="E12" s="804"/>
      <c r="F12" s="804"/>
      <c r="G12" s="804"/>
      <c r="H12" s="804"/>
      <c r="I12" s="804"/>
      <c r="J12" s="804"/>
    </row>
    <row r="13" spans="1:10">
      <c r="A13" s="139" t="s">
        <v>31</v>
      </c>
      <c r="D13" s="122"/>
    </row>
    <row r="14" spans="1:10" ht="27">
      <c r="A14" s="112"/>
      <c r="D14" s="809"/>
      <c r="E14" s="809"/>
      <c r="F14" s="809"/>
      <c r="G14" s="809"/>
      <c r="H14" s="809"/>
      <c r="I14" s="809"/>
      <c r="J14" s="809"/>
    </row>
    <row r="15" spans="1:10" ht="23.25" customHeight="1">
      <c r="A15" s="112" t="s">
        <v>286</v>
      </c>
      <c r="D15" s="123"/>
      <c r="E15" s="123"/>
      <c r="F15" s="123"/>
      <c r="G15" s="123"/>
      <c r="H15" s="123"/>
      <c r="I15" s="123"/>
      <c r="J15" s="123"/>
    </row>
    <row r="16" spans="1:10" ht="29.55" customHeight="1">
      <c r="A16" s="133" t="s">
        <v>287</v>
      </c>
      <c r="D16" s="124"/>
      <c r="E16" s="803"/>
      <c r="F16" s="806"/>
      <c r="G16" s="807"/>
      <c r="H16" s="126"/>
      <c r="I16" s="808"/>
      <c r="J16" s="803"/>
    </row>
    <row r="17" spans="1:10" ht="18.75" customHeight="1">
      <c r="A17" s="112" t="s">
        <v>288</v>
      </c>
      <c r="D17" s="125"/>
      <c r="E17" s="803"/>
      <c r="F17" s="806"/>
      <c r="G17" s="807"/>
      <c r="H17" s="126"/>
      <c r="I17" s="808"/>
      <c r="J17" s="803"/>
    </row>
    <row r="18" spans="1:10" ht="8.5500000000000007" customHeight="1">
      <c r="D18" s="125"/>
      <c r="E18" s="803"/>
      <c r="F18" s="806"/>
      <c r="G18" s="807"/>
      <c r="H18" s="126"/>
      <c r="I18" s="808"/>
      <c r="J18" s="803"/>
    </row>
    <row r="19" spans="1:10">
      <c r="A19" s="139" t="s">
        <v>23</v>
      </c>
      <c r="D19" s="124"/>
      <c r="E19" s="803"/>
      <c r="F19" s="806"/>
      <c r="G19" s="810"/>
      <c r="H19" s="126"/>
      <c r="I19" s="811"/>
      <c r="J19" s="803"/>
    </row>
    <row r="20" spans="1:10" ht="15">
      <c r="A20" s="112"/>
      <c r="D20" s="125"/>
      <c r="E20" s="803"/>
      <c r="F20" s="806"/>
      <c r="G20" s="810"/>
      <c r="H20" s="126"/>
      <c r="I20" s="811"/>
      <c r="J20" s="803"/>
    </row>
    <row r="21" spans="1:10" ht="15">
      <c r="A21" s="112" t="s">
        <v>289</v>
      </c>
      <c r="D21" s="125"/>
      <c r="E21" s="803"/>
      <c r="F21" s="806"/>
      <c r="G21" s="810"/>
      <c r="H21" s="126"/>
      <c r="I21" s="811"/>
      <c r="J21" s="803"/>
    </row>
    <row r="22" spans="1:10" ht="27" customHeight="1">
      <c r="A22" s="112" t="s">
        <v>290</v>
      </c>
      <c r="D22" s="124"/>
      <c r="E22" s="803"/>
      <c r="F22" s="806"/>
      <c r="G22" s="810"/>
      <c r="H22" s="126"/>
      <c r="I22" s="808"/>
      <c r="J22" s="803"/>
    </row>
    <row r="23" spans="1:10" ht="15">
      <c r="A23" s="112" t="s">
        <v>291</v>
      </c>
      <c r="D23" s="125"/>
      <c r="E23" s="803"/>
      <c r="F23" s="806"/>
      <c r="G23" s="810"/>
      <c r="H23" s="126"/>
      <c r="I23" s="808"/>
      <c r="J23" s="803"/>
    </row>
    <row r="24" spans="1:10" ht="15">
      <c r="D24" s="125"/>
      <c r="E24" s="803"/>
      <c r="F24" s="806"/>
      <c r="G24" s="810"/>
      <c r="H24" s="126"/>
      <c r="I24" s="808"/>
      <c r="J24" s="803"/>
    </row>
    <row r="25" spans="1:10">
      <c r="A25" s="139" t="s">
        <v>28</v>
      </c>
      <c r="D25" s="124"/>
      <c r="E25" s="803"/>
      <c r="F25" s="806"/>
      <c r="G25" s="812"/>
      <c r="H25" s="126"/>
      <c r="I25" s="811"/>
      <c r="J25" s="803"/>
    </row>
    <row r="26" spans="1:10" ht="15">
      <c r="A26" s="112"/>
      <c r="D26" s="125"/>
      <c r="E26" s="803"/>
      <c r="F26" s="806"/>
      <c r="G26" s="812"/>
      <c r="H26" s="126"/>
      <c r="I26" s="811"/>
      <c r="J26" s="803"/>
    </row>
    <row r="27" spans="1:10" ht="15">
      <c r="A27" s="112" t="s">
        <v>292</v>
      </c>
      <c r="D27" s="125"/>
      <c r="E27" s="803"/>
      <c r="F27" s="806"/>
      <c r="G27" s="812"/>
      <c r="H27" s="126"/>
      <c r="I27" s="811"/>
      <c r="J27" s="803"/>
    </row>
    <row r="28" spans="1:10" ht="22.05" customHeight="1">
      <c r="A28" s="112" t="s">
        <v>293</v>
      </c>
      <c r="D28" s="124"/>
      <c r="E28" s="803"/>
      <c r="F28" s="806"/>
      <c r="G28" s="810"/>
      <c r="H28" s="126"/>
      <c r="I28" s="811"/>
      <c r="J28" s="803"/>
    </row>
    <row r="29" spans="1:10" ht="15">
      <c r="A29" s="112" t="s">
        <v>294</v>
      </c>
      <c r="D29" s="125"/>
      <c r="E29" s="803"/>
      <c r="F29" s="806"/>
      <c r="G29" s="810"/>
      <c r="H29" s="126"/>
      <c r="I29" s="811"/>
      <c r="J29" s="803"/>
    </row>
    <row r="30" spans="1:10" ht="15">
      <c r="D30" s="125"/>
      <c r="E30" s="803"/>
      <c r="F30" s="806"/>
      <c r="G30" s="810"/>
      <c r="H30" s="126"/>
      <c r="I30" s="811"/>
      <c r="J30" s="803"/>
    </row>
    <row r="31" spans="1:10">
      <c r="A31" s="139" t="s">
        <v>9</v>
      </c>
      <c r="D31" s="124"/>
      <c r="E31" s="803"/>
      <c r="F31" s="806"/>
      <c r="G31" s="810"/>
      <c r="H31" s="126"/>
      <c r="I31" s="811"/>
      <c r="J31" s="803"/>
    </row>
    <row r="32" spans="1:10" ht="15">
      <c r="A32" s="112"/>
      <c r="D32" s="125"/>
      <c r="E32" s="803"/>
      <c r="F32" s="806"/>
      <c r="G32" s="810"/>
      <c r="H32" s="126"/>
      <c r="I32" s="811"/>
      <c r="J32" s="803"/>
    </row>
    <row r="33" spans="1:10" ht="15">
      <c r="A33" s="112" t="s">
        <v>295</v>
      </c>
      <c r="D33" s="125"/>
      <c r="E33" s="803"/>
      <c r="F33" s="806"/>
      <c r="G33" s="810"/>
      <c r="H33" s="126"/>
      <c r="I33" s="811"/>
      <c r="J33" s="803"/>
    </row>
    <row r="34" spans="1:10" ht="19.5" customHeight="1">
      <c r="A34" s="112" t="s">
        <v>296</v>
      </c>
      <c r="D34" s="124"/>
      <c r="E34" s="803"/>
      <c r="F34" s="806"/>
      <c r="G34" s="810"/>
      <c r="H34" s="126"/>
      <c r="I34" s="813"/>
      <c r="J34" s="803"/>
    </row>
    <row r="35" spans="1:10" ht="15">
      <c r="A35" s="112" t="s">
        <v>297</v>
      </c>
      <c r="D35" s="125"/>
      <c r="E35" s="803"/>
      <c r="F35" s="806"/>
      <c r="G35" s="810"/>
      <c r="H35" s="126"/>
      <c r="I35" s="813"/>
      <c r="J35" s="803"/>
    </row>
    <row r="36" spans="1:10" ht="15">
      <c r="D36" s="125"/>
      <c r="E36" s="803"/>
      <c r="F36" s="806"/>
      <c r="G36" s="810"/>
      <c r="H36" s="126"/>
      <c r="I36" s="813"/>
      <c r="J36" s="803"/>
    </row>
    <row r="37" spans="1:10">
      <c r="A37" s="139" t="s">
        <v>33</v>
      </c>
      <c r="D37" s="124"/>
      <c r="E37" s="803"/>
      <c r="F37" s="806"/>
      <c r="G37" s="812"/>
      <c r="H37" s="126"/>
      <c r="I37" s="808"/>
      <c r="J37" s="803"/>
    </row>
    <row r="38" spans="1:10" ht="15">
      <c r="A38" s="112"/>
      <c r="D38" s="125"/>
      <c r="E38" s="803"/>
      <c r="F38" s="806"/>
      <c r="G38" s="812"/>
      <c r="H38" s="126"/>
      <c r="I38" s="808"/>
      <c r="J38" s="803"/>
    </row>
    <row r="39" spans="1:10" ht="15">
      <c r="A39" s="112" t="s">
        <v>298</v>
      </c>
      <c r="D39" s="125"/>
      <c r="E39" s="803"/>
      <c r="F39" s="806"/>
      <c r="G39" s="812"/>
      <c r="H39" s="126"/>
      <c r="I39" s="808"/>
      <c r="J39" s="803"/>
    </row>
    <row r="40" spans="1:10">
      <c r="A40" s="112" t="s">
        <v>299</v>
      </c>
      <c r="D40" s="124"/>
      <c r="E40" s="803"/>
      <c r="F40" s="806"/>
      <c r="G40" s="810"/>
      <c r="H40" s="126"/>
      <c r="I40" s="808"/>
      <c r="J40" s="803"/>
    </row>
    <row r="41" spans="1:10" ht="15">
      <c r="A41" s="112" t="s">
        <v>300</v>
      </c>
      <c r="D41" s="125"/>
      <c r="E41" s="803"/>
      <c r="F41" s="806"/>
      <c r="G41" s="810"/>
      <c r="H41" s="126"/>
      <c r="I41" s="808"/>
      <c r="J41" s="803"/>
    </row>
    <row r="42" spans="1:10" ht="15">
      <c r="D42" s="125"/>
      <c r="E42" s="803"/>
      <c r="F42" s="806"/>
      <c r="G42" s="810"/>
      <c r="H42" s="126"/>
      <c r="I42" s="808"/>
      <c r="J42" s="803"/>
    </row>
    <row r="43" spans="1:10" ht="45.6">
      <c r="A43" s="110" t="s">
        <v>301</v>
      </c>
      <c r="D43" s="124"/>
      <c r="E43" s="803"/>
      <c r="F43" s="806"/>
      <c r="G43" s="810"/>
      <c r="H43" s="126"/>
      <c r="I43" s="808"/>
      <c r="J43" s="803"/>
    </row>
    <row r="44" spans="1:10" ht="15">
      <c r="A44" s="112"/>
      <c r="D44" s="125"/>
      <c r="E44" s="803"/>
      <c r="F44" s="806"/>
      <c r="G44" s="810"/>
      <c r="H44" s="126"/>
      <c r="I44" s="808"/>
      <c r="J44" s="803"/>
    </row>
    <row r="45" spans="1:10" ht="26.4">
      <c r="A45" s="113" t="s">
        <v>302</v>
      </c>
      <c r="D45" s="125"/>
      <c r="E45" s="803"/>
      <c r="F45" s="806"/>
      <c r="G45" s="810"/>
      <c r="H45" s="126"/>
      <c r="I45" s="808"/>
      <c r="J45" s="803"/>
    </row>
    <row r="46" spans="1:10" ht="26.4">
      <c r="A46" s="113" t="s">
        <v>303</v>
      </c>
      <c r="D46" s="122"/>
    </row>
    <row r="47" spans="1:10" ht="27">
      <c r="A47" s="113" t="s">
        <v>304</v>
      </c>
      <c r="D47" s="809"/>
      <c r="E47" s="809"/>
      <c r="F47" s="809"/>
      <c r="G47" s="809"/>
      <c r="H47" s="809"/>
      <c r="I47" s="809"/>
      <c r="J47" s="809"/>
    </row>
    <row r="48" spans="1:10" ht="26.4">
      <c r="A48" s="113" t="s">
        <v>305</v>
      </c>
      <c r="D48" s="123"/>
      <c r="E48" s="123"/>
      <c r="F48" s="123"/>
      <c r="G48" s="123"/>
      <c r="H48" s="123"/>
      <c r="I48" s="123"/>
    </row>
    <row r="49" spans="1:9" ht="26.4">
      <c r="A49" s="113" t="s">
        <v>306</v>
      </c>
      <c r="D49" s="130"/>
      <c r="E49" s="125"/>
      <c r="F49" s="131"/>
      <c r="G49" s="132"/>
      <c r="H49" s="127"/>
      <c r="I49" s="125"/>
    </row>
    <row r="50" spans="1:9" ht="15">
      <c r="D50" s="130"/>
      <c r="E50" s="125"/>
      <c r="F50" s="131"/>
      <c r="G50" s="132"/>
      <c r="H50" s="128"/>
      <c r="I50" s="125"/>
    </row>
    <row r="51" spans="1:9" ht="22.8">
      <c r="A51" s="110" t="s">
        <v>307</v>
      </c>
      <c r="D51" s="130"/>
      <c r="E51" s="125"/>
      <c r="F51" s="131"/>
      <c r="G51" s="132"/>
      <c r="H51" s="129"/>
      <c r="I51" s="125"/>
    </row>
    <row r="52" spans="1:9" ht="15">
      <c r="D52" s="130"/>
      <c r="E52" s="125"/>
      <c r="F52" s="131"/>
      <c r="G52" s="132"/>
      <c r="H52" s="127"/>
      <c r="I52" s="125"/>
    </row>
    <row r="53" spans="1:9" ht="17.399999999999999">
      <c r="A53" s="146" t="s">
        <v>308</v>
      </c>
      <c r="D53" s="130"/>
      <c r="E53" s="125"/>
      <c r="F53" s="131"/>
      <c r="G53" s="132"/>
      <c r="H53" s="128"/>
      <c r="I53" s="125"/>
    </row>
    <row r="54" spans="1:9">
      <c r="A54" s="112"/>
      <c r="D54" s="122"/>
    </row>
    <row r="55" spans="1:9" ht="27">
      <c r="A55" s="113" t="s">
        <v>309</v>
      </c>
      <c r="D55" s="809"/>
      <c r="E55" s="809"/>
      <c r="F55" s="809"/>
      <c r="G55" s="809"/>
    </row>
    <row r="56" spans="1:9" ht="13.8">
      <c r="A56" s="113" t="s">
        <v>310</v>
      </c>
      <c r="D56" s="123"/>
      <c r="E56" s="123"/>
      <c r="F56" s="123"/>
      <c r="G56" s="123"/>
    </row>
    <row r="57" spans="1:9" ht="15">
      <c r="D57" s="129"/>
      <c r="E57" s="125"/>
      <c r="F57" s="125"/>
      <c r="G57" s="125"/>
    </row>
    <row r="58" spans="1:9" ht="17.399999999999999">
      <c r="A58" s="146" t="s">
        <v>311</v>
      </c>
      <c r="D58" s="127"/>
      <c r="E58" s="125"/>
      <c r="F58" s="125"/>
      <c r="G58" s="125"/>
    </row>
    <row r="59" spans="1:9" ht="15">
      <c r="A59" s="112"/>
      <c r="D59" s="128"/>
      <c r="E59" s="125"/>
      <c r="F59" s="125"/>
      <c r="G59" s="125"/>
    </row>
    <row r="60" spans="1:9">
      <c r="A60" s="113" t="s">
        <v>312</v>
      </c>
    </row>
    <row r="61" spans="1:9">
      <c r="A61" s="113" t="s">
        <v>313</v>
      </c>
    </row>
    <row r="63" spans="1:9" ht="17.399999999999999">
      <c r="A63" s="146" t="s">
        <v>314</v>
      </c>
    </row>
    <row r="64" spans="1:9">
      <c r="A64" s="112"/>
    </row>
    <row r="65" spans="1:1">
      <c r="A65" s="113" t="s">
        <v>315</v>
      </c>
    </row>
    <row r="66" spans="1:1">
      <c r="A66" s="113" t="s">
        <v>316</v>
      </c>
    </row>
    <row r="68" spans="1:1" ht="17.399999999999999">
      <c r="A68" s="146" t="s">
        <v>317</v>
      </c>
    </row>
    <row r="69" spans="1:1">
      <c r="A69" s="112"/>
    </row>
    <row r="70" spans="1:1">
      <c r="A70" s="113" t="s">
        <v>318</v>
      </c>
    </row>
    <row r="71" spans="1:1">
      <c r="A71" s="137" t="s">
        <v>319</v>
      </c>
    </row>
    <row r="72" spans="1:1" ht="26.4">
      <c r="A72" s="138" t="s">
        <v>573</v>
      </c>
    </row>
    <row r="73" spans="1:1" ht="26.4">
      <c r="A73" s="138" t="s">
        <v>574</v>
      </c>
    </row>
    <row r="74" spans="1:1" ht="26.4">
      <c r="A74" s="138" t="s">
        <v>575</v>
      </c>
    </row>
    <row r="75" spans="1:1" ht="26.4">
      <c r="A75" s="138" t="s">
        <v>576</v>
      </c>
    </row>
    <row r="76" spans="1:1" ht="26.4">
      <c r="A76" s="138" t="s">
        <v>577</v>
      </c>
    </row>
    <row r="77" spans="1:1" ht="26.4">
      <c r="A77" s="138" t="s">
        <v>578</v>
      </c>
    </row>
    <row r="78" spans="1:1" ht="26.4">
      <c r="A78" s="138" t="s">
        <v>579</v>
      </c>
    </row>
    <row r="79" spans="1:1" ht="31.5" customHeight="1">
      <c r="A79" s="138" t="s">
        <v>580</v>
      </c>
    </row>
    <row r="80" spans="1:1" ht="34.5" customHeight="1">
      <c r="A80" s="138" t="s">
        <v>581</v>
      </c>
    </row>
    <row r="81" spans="1:1" ht="40.5" customHeight="1">
      <c r="A81" s="138" t="s">
        <v>582</v>
      </c>
    </row>
    <row r="82" spans="1:1" ht="38.549999999999997" customHeight="1">
      <c r="A82" s="138" t="s">
        <v>583</v>
      </c>
    </row>
    <row r="83" spans="1:1" ht="22.05" customHeight="1">
      <c r="A83" s="137" t="s">
        <v>320</v>
      </c>
    </row>
    <row r="84" spans="1:1" ht="22.05" customHeight="1">
      <c r="A84" s="113" t="s">
        <v>321</v>
      </c>
    </row>
  </sheetData>
  <mergeCells count="55">
    <mergeCell ref="D47:J47"/>
    <mergeCell ref="D55:G55"/>
    <mergeCell ref="E43:E45"/>
    <mergeCell ref="F43:F45"/>
    <mergeCell ref="G43:G45"/>
    <mergeCell ref="I43:I45"/>
    <mergeCell ref="J43:J45"/>
    <mergeCell ref="E34:E36"/>
    <mergeCell ref="F34:F36"/>
    <mergeCell ref="G34:G36"/>
    <mergeCell ref="I34:I36"/>
    <mergeCell ref="J34:J36"/>
    <mergeCell ref="E31:E33"/>
    <mergeCell ref="F31:F33"/>
    <mergeCell ref="G31:G33"/>
    <mergeCell ref="I31:I33"/>
    <mergeCell ref="J31:J33"/>
    <mergeCell ref="E37:E39"/>
    <mergeCell ref="F37:F39"/>
    <mergeCell ref="G37:G39"/>
    <mergeCell ref="I37:I39"/>
    <mergeCell ref="J37:J39"/>
    <mergeCell ref="E40:E42"/>
    <mergeCell ref="F40:F42"/>
    <mergeCell ref="G40:G42"/>
    <mergeCell ref="I40:I42"/>
    <mergeCell ref="J40:J42"/>
    <mergeCell ref="E25:E27"/>
    <mergeCell ref="F25:F27"/>
    <mergeCell ref="G25:G27"/>
    <mergeCell ref="I25:I27"/>
    <mergeCell ref="J25:J27"/>
    <mergeCell ref="E28:E30"/>
    <mergeCell ref="F28:F30"/>
    <mergeCell ref="G28:G30"/>
    <mergeCell ref="I28:I30"/>
    <mergeCell ref="J28:J30"/>
    <mergeCell ref="E19:E21"/>
    <mergeCell ref="F19:F21"/>
    <mergeCell ref="G19:G21"/>
    <mergeCell ref="I19:I21"/>
    <mergeCell ref="J19:J21"/>
    <mergeCell ref="E22:E24"/>
    <mergeCell ref="F22:F24"/>
    <mergeCell ref="G22:G24"/>
    <mergeCell ref="I22:I24"/>
    <mergeCell ref="J22:J24"/>
    <mergeCell ref="J16:J18"/>
    <mergeCell ref="D12:J12"/>
    <mergeCell ref="D1:G1"/>
    <mergeCell ref="E16:E18"/>
    <mergeCell ref="F16:F18"/>
    <mergeCell ref="G16:G18"/>
    <mergeCell ref="I16:I18"/>
    <mergeCell ref="D14:J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FC09-5B66-429E-A324-042F5ADF7C23}">
  <sheetPr codeName="Sheet11"/>
  <dimension ref="A1:K22"/>
  <sheetViews>
    <sheetView topLeftCell="A12" workbookViewId="0">
      <selection sqref="A1:K22"/>
    </sheetView>
  </sheetViews>
  <sheetFormatPr defaultRowHeight="13.2"/>
  <cols>
    <col min="1" max="1" width="32.109375" customWidth="1"/>
    <col min="2" max="2" width="47.88671875" customWidth="1"/>
    <col min="3" max="3" width="44.6640625" customWidth="1"/>
    <col min="4" max="4" width="16.6640625" customWidth="1"/>
    <col min="5" max="6" width="16.88671875" customWidth="1"/>
    <col min="7" max="8" width="17.33203125" customWidth="1"/>
    <col min="9" max="9" width="14.109375" customWidth="1"/>
    <col min="10" max="10" width="14.6640625" customWidth="1"/>
    <col min="11" max="11" width="18.88671875" customWidth="1"/>
  </cols>
  <sheetData>
    <row r="1" spans="1:11" ht="22.8">
      <c r="A1" s="805" t="s">
        <v>339</v>
      </c>
      <c r="B1" s="805"/>
      <c r="C1" s="805"/>
      <c r="D1" s="805"/>
      <c r="E1" s="805"/>
      <c r="F1" s="805"/>
      <c r="G1" s="805"/>
      <c r="H1" s="805"/>
      <c r="I1" s="805"/>
      <c r="J1" s="805"/>
      <c r="K1" s="805"/>
    </row>
    <row r="2" spans="1:11">
      <c r="A2" s="114"/>
    </row>
    <row r="3" spans="1:11">
      <c r="A3" s="115" t="s">
        <v>323</v>
      </c>
      <c r="B3" s="115" t="s">
        <v>340</v>
      </c>
      <c r="C3" s="115" t="s">
        <v>341</v>
      </c>
      <c r="D3" s="115" t="s">
        <v>342</v>
      </c>
      <c r="E3" s="115" t="s">
        <v>343</v>
      </c>
      <c r="F3" s="115" t="s">
        <v>344</v>
      </c>
      <c r="G3" s="115" t="s">
        <v>345</v>
      </c>
      <c r="H3" s="115" t="s">
        <v>94</v>
      </c>
      <c r="I3" s="115" t="s">
        <v>346</v>
      </c>
      <c r="J3" s="115" t="s">
        <v>347</v>
      </c>
      <c r="K3" s="115" t="s">
        <v>348</v>
      </c>
    </row>
    <row r="4" spans="1:11" ht="26.4">
      <c r="A4" s="116" t="s">
        <v>31</v>
      </c>
      <c r="B4" s="92" t="s">
        <v>349</v>
      </c>
      <c r="C4" s="92" t="s">
        <v>327</v>
      </c>
      <c r="D4" s="118">
        <v>2.5000000000000001E-2</v>
      </c>
      <c r="E4" s="120" t="s">
        <v>274</v>
      </c>
      <c r="F4" s="120" t="s">
        <v>350</v>
      </c>
      <c r="G4" s="120" t="s">
        <v>351</v>
      </c>
      <c r="H4" s="116" t="s">
        <v>352</v>
      </c>
      <c r="I4" s="92" t="s">
        <v>353</v>
      </c>
      <c r="J4" s="92" t="s">
        <v>36</v>
      </c>
      <c r="K4" s="92" t="s">
        <v>354</v>
      </c>
    </row>
    <row r="5" spans="1:11">
      <c r="A5" s="116" t="s">
        <v>31</v>
      </c>
      <c r="B5" s="92" t="s">
        <v>355</v>
      </c>
      <c r="C5" s="92" t="s">
        <v>327</v>
      </c>
      <c r="D5" s="115" t="s">
        <v>356</v>
      </c>
      <c r="E5" s="120" t="s">
        <v>357</v>
      </c>
      <c r="F5" s="120" t="s">
        <v>358</v>
      </c>
      <c r="G5" s="120" t="s">
        <v>359</v>
      </c>
      <c r="H5" s="116" t="s">
        <v>279</v>
      </c>
      <c r="I5" s="92" t="s">
        <v>353</v>
      </c>
      <c r="J5" s="92" t="s">
        <v>24</v>
      </c>
      <c r="K5" s="92" t="s">
        <v>360</v>
      </c>
    </row>
    <row r="6" spans="1:11" ht="26.4">
      <c r="A6" s="116" t="s">
        <v>23</v>
      </c>
      <c r="B6" s="92" t="s">
        <v>361</v>
      </c>
      <c r="C6" s="92" t="s">
        <v>330</v>
      </c>
      <c r="D6" s="115">
        <v>4</v>
      </c>
      <c r="E6" s="121">
        <v>45717</v>
      </c>
      <c r="F6" s="121">
        <v>45812</v>
      </c>
      <c r="G6" s="120" t="s">
        <v>362</v>
      </c>
      <c r="H6" s="116" t="s">
        <v>352</v>
      </c>
      <c r="I6" s="92" t="s">
        <v>363</v>
      </c>
      <c r="J6" s="92" t="s">
        <v>26</v>
      </c>
      <c r="K6" s="92" t="s">
        <v>364</v>
      </c>
    </row>
    <row r="7" spans="1:11">
      <c r="A7" s="116" t="s">
        <v>23</v>
      </c>
      <c r="B7" s="92" t="s">
        <v>365</v>
      </c>
      <c r="C7" s="92" t="s">
        <v>330</v>
      </c>
      <c r="D7" s="119">
        <v>0.02</v>
      </c>
      <c r="E7" s="120" t="s">
        <v>366</v>
      </c>
      <c r="F7" s="120" t="s">
        <v>367</v>
      </c>
      <c r="G7" s="120" t="s">
        <v>368</v>
      </c>
      <c r="H7" s="116" t="s">
        <v>279</v>
      </c>
      <c r="I7" s="92" t="s">
        <v>353</v>
      </c>
      <c r="J7" s="92" t="s">
        <v>26</v>
      </c>
      <c r="K7" s="92" t="s">
        <v>369</v>
      </c>
    </row>
    <row r="8" spans="1:11" ht="26.4">
      <c r="A8" s="116" t="s">
        <v>28</v>
      </c>
      <c r="B8" s="92" t="s">
        <v>370</v>
      </c>
      <c r="C8" s="92" t="s">
        <v>330</v>
      </c>
      <c r="D8" s="115">
        <v>12</v>
      </c>
      <c r="E8" s="121">
        <v>45809</v>
      </c>
      <c r="F8" s="121">
        <v>45998</v>
      </c>
      <c r="G8" s="120" t="s">
        <v>371</v>
      </c>
      <c r="H8" s="116" t="s">
        <v>279</v>
      </c>
      <c r="I8" s="92" t="s">
        <v>363</v>
      </c>
      <c r="J8" s="92" t="s">
        <v>26</v>
      </c>
      <c r="K8" s="92" t="s">
        <v>372</v>
      </c>
    </row>
    <row r="9" spans="1:11" ht="26.4">
      <c r="A9" s="116" t="s">
        <v>28</v>
      </c>
      <c r="B9" s="92" t="s">
        <v>373</v>
      </c>
      <c r="C9" s="92" t="s">
        <v>330</v>
      </c>
      <c r="D9" s="115" t="s">
        <v>374</v>
      </c>
      <c r="E9" s="120">
        <v>0</v>
      </c>
      <c r="F9" s="120" t="s">
        <v>375</v>
      </c>
      <c r="G9" s="120" t="s">
        <v>376</v>
      </c>
      <c r="H9" s="116" t="s">
        <v>279</v>
      </c>
      <c r="I9" s="92" t="s">
        <v>353</v>
      </c>
      <c r="J9" s="92" t="s">
        <v>26</v>
      </c>
      <c r="K9" s="92" t="s">
        <v>377</v>
      </c>
    </row>
    <row r="10" spans="1:11">
      <c r="A10" s="116" t="s">
        <v>9</v>
      </c>
      <c r="B10" s="92" t="s">
        <v>378</v>
      </c>
      <c r="C10" s="92" t="s">
        <v>335</v>
      </c>
      <c r="D10" s="115">
        <v>3</v>
      </c>
      <c r="E10" s="121">
        <v>45717</v>
      </c>
      <c r="F10" s="121">
        <v>45812</v>
      </c>
      <c r="G10" s="120" t="s">
        <v>362</v>
      </c>
      <c r="H10" s="116" t="s">
        <v>275</v>
      </c>
      <c r="I10" s="92" t="s">
        <v>363</v>
      </c>
      <c r="J10" s="92" t="s">
        <v>36</v>
      </c>
      <c r="K10" s="92" t="s">
        <v>379</v>
      </c>
    </row>
    <row r="11" spans="1:11">
      <c r="A11" s="116" t="s">
        <v>9</v>
      </c>
      <c r="B11" s="92" t="s">
        <v>380</v>
      </c>
      <c r="C11" s="92" t="s">
        <v>335</v>
      </c>
      <c r="D11" s="119">
        <v>0.85</v>
      </c>
      <c r="E11" s="120" t="s">
        <v>381</v>
      </c>
      <c r="F11" s="120" t="s">
        <v>382</v>
      </c>
      <c r="G11" s="120" t="s">
        <v>383</v>
      </c>
      <c r="H11" s="116" t="s">
        <v>352</v>
      </c>
      <c r="I11" s="92" t="s">
        <v>363</v>
      </c>
      <c r="J11" s="92" t="s">
        <v>36</v>
      </c>
      <c r="K11" s="92" t="s">
        <v>384</v>
      </c>
    </row>
    <row r="12" spans="1:11" ht="26.4">
      <c r="A12" s="116" t="s">
        <v>33</v>
      </c>
      <c r="B12" s="92" t="s">
        <v>385</v>
      </c>
      <c r="C12" s="92" t="s">
        <v>335</v>
      </c>
      <c r="D12" s="115">
        <v>4</v>
      </c>
      <c r="E12" s="121">
        <v>45717</v>
      </c>
      <c r="F12" s="121">
        <v>45812</v>
      </c>
      <c r="G12" s="120" t="s">
        <v>362</v>
      </c>
      <c r="H12" s="116" t="s">
        <v>352</v>
      </c>
      <c r="I12" s="92" t="s">
        <v>363</v>
      </c>
      <c r="J12" s="92" t="s">
        <v>34</v>
      </c>
      <c r="K12" s="92" t="s">
        <v>386</v>
      </c>
    </row>
    <row r="13" spans="1:11">
      <c r="A13" s="116" t="s">
        <v>33</v>
      </c>
      <c r="B13" s="92" t="s">
        <v>387</v>
      </c>
      <c r="C13" s="92" t="s">
        <v>335</v>
      </c>
      <c r="D13" s="115" t="s">
        <v>388</v>
      </c>
      <c r="E13" s="120" t="s">
        <v>389</v>
      </c>
      <c r="F13" s="120" t="s">
        <v>390</v>
      </c>
      <c r="G13" s="120" t="s">
        <v>391</v>
      </c>
      <c r="H13" s="116" t="s">
        <v>352</v>
      </c>
      <c r="I13" s="92" t="s">
        <v>363</v>
      </c>
      <c r="J13" s="92" t="s">
        <v>34</v>
      </c>
      <c r="K13" s="92" t="s">
        <v>392</v>
      </c>
    </row>
    <row r="15" spans="1:11" ht="22.8">
      <c r="A15" s="805" t="s">
        <v>393</v>
      </c>
      <c r="B15" s="805"/>
      <c r="C15" s="805"/>
      <c r="D15" s="805"/>
      <c r="E15" s="805"/>
    </row>
    <row r="16" spans="1:11">
      <c r="A16" s="114"/>
    </row>
    <row r="17" spans="1:5">
      <c r="A17" s="115" t="s">
        <v>394</v>
      </c>
      <c r="B17" s="115" t="s">
        <v>395</v>
      </c>
      <c r="C17" s="115" t="s">
        <v>396</v>
      </c>
      <c r="D17" s="115" t="s">
        <v>94</v>
      </c>
      <c r="E17" s="115" t="s">
        <v>397</v>
      </c>
    </row>
    <row r="18" spans="1:5" ht="26.4">
      <c r="A18" s="116" t="s">
        <v>398</v>
      </c>
      <c r="B18" s="92" t="s">
        <v>399</v>
      </c>
      <c r="C18" s="116" t="s">
        <v>400</v>
      </c>
      <c r="D18" s="92" t="s">
        <v>401</v>
      </c>
      <c r="E18" s="92" t="s">
        <v>402</v>
      </c>
    </row>
    <row r="19" spans="1:5" ht="26.4">
      <c r="A19" s="116" t="s">
        <v>403</v>
      </c>
      <c r="B19" s="92" t="s">
        <v>404</v>
      </c>
      <c r="C19" s="116" t="s">
        <v>405</v>
      </c>
      <c r="D19" s="92" t="s">
        <v>406</v>
      </c>
      <c r="E19" s="92" t="s">
        <v>407</v>
      </c>
    </row>
    <row r="20" spans="1:5">
      <c r="A20" s="116" t="s">
        <v>408</v>
      </c>
      <c r="B20" s="92" t="s">
        <v>409</v>
      </c>
      <c r="C20" s="116" t="s">
        <v>410</v>
      </c>
      <c r="D20" s="92" t="s">
        <v>411</v>
      </c>
      <c r="E20" s="92" t="s">
        <v>412</v>
      </c>
    </row>
    <row r="21" spans="1:5" ht="26.4">
      <c r="A21" s="116" t="s">
        <v>413</v>
      </c>
      <c r="B21" s="92" t="s">
        <v>414</v>
      </c>
      <c r="C21" s="116" t="s">
        <v>415</v>
      </c>
      <c r="D21" s="92" t="s">
        <v>416</v>
      </c>
      <c r="E21" s="92" t="s">
        <v>417</v>
      </c>
    </row>
    <row r="22" spans="1:5" ht="26.4">
      <c r="A22" s="116" t="s">
        <v>418</v>
      </c>
      <c r="B22" s="92" t="s">
        <v>419</v>
      </c>
      <c r="C22" s="116" t="s">
        <v>420</v>
      </c>
      <c r="D22" s="92" t="s">
        <v>406</v>
      </c>
      <c r="E22" s="92" t="s">
        <v>421</v>
      </c>
    </row>
  </sheetData>
  <mergeCells count="2">
    <mergeCell ref="A1:K1"/>
    <mergeCell ref="A15:E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13F93-B08D-40BB-959B-9B9B7F739682}">
  <sheetPr codeName="Sheet13">
    <tabColor rgb="FFFFC000"/>
  </sheetPr>
  <dimension ref="A1:V37"/>
  <sheetViews>
    <sheetView tabSelected="1" zoomScale="80" zoomScaleNormal="80" workbookViewId="0">
      <pane ySplit="2" topLeftCell="A3" activePane="bottomLeft" state="frozen"/>
      <selection activeCell="B1" sqref="B1"/>
      <selection pane="bottomLeft" activeCell="D15" sqref="D15"/>
    </sheetView>
  </sheetViews>
  <sheetFormatPr defaultColWidth="9.109375" defaultRowHeight="13.2"/>
  <cols>
    <col min="1" max="1" width="27.44140625" style="274" customWidth="1"/>
    <col min="2" max="2" width="12.21875" style="274" customWidth="1"/>
    <col min="3" max="3" width="47.33203125" style="274" bestFit="1" customWidth="1"/>
    <col min="4" max="4" width="43.6640625" style="274" bestFit="1" customWidth="1"/>
    <col min="5" max="5" width="28.5546875" style="274" customWidth="1"/>
    <col min="6" max="6" width="32.88671875" style="274" bestFit="1" customWidth="1"/>
    <col min="7" max="7" width="20.21875" style="274" bestFit="1" customWidth="1"/>
    <col min="8" max="8" width="26" style="274" bestFit="1" customWidth="1"/>
    <col min="9" max="9" width="43.21875" style="274" bestFit="1" customWidth="1"/>
    <col min="10" max="10" width="23.5546875" style="274" bestFit="1" customWidth="1"/>
    <col min="11" max="11" width="39.21875" style="274" bestFit="1" customWidth="1"/>
    <col min="12" max="12" width="35.5546875" style="274" bestFit="1" customWidth="1"/>
    <col min="13" max="13" width="34.33203125" style="274" bestFit="1" customWidth="1"/>
    <col min="14" max="14" width="34.88671875" style="274" bestFit="1" customWidth="1"/>
    <col min="15" max="15" width="31.109375" style="275" bestFit="1" customWidth="1"/>
    <col min="16" max="16" width="19.6640625" style="276" customWidth="1"/>
    <col min="17" max="17" width="36.44140625" style="274" bestFit="1" customWidth="1"/>
    <col min="18" max="19" width="9.109375" style="274"/>
    <col min="20" max="20" width="16.88671875" style="274" customWidth="1"/>
    <col min="21" max="21" width="43.88671875" style="274" bestFit="1" customWidth="1"/>
    <col min="22" max="28" width="9.109375" style="274"/>
    <col min="29" max="29" width="30.33203125" style="274" bestFit="1" customWidth="1"/>
    <col min="30" max="16384" width="9.109375" style="274"/>
  </cols>
  <sheetData>
    <row r="1" spans="1:22" ht="68.099999999999994" customHeight="1">
      <c r="C1" s="273"/>
      <c r="D1"/>
      <c r="E1" s="273"/>
      <c r="F1" s="814" t="s">
        <v>1328</v>
      </c>
      <c r="G1" s="814"/>
      <c r="H1" s="814"/>
      <c r="I1" s="814"/>
      <c r="J1" s="814"/>
      <c r="M1"/>
      <c r="N1"/>
      <c r="O1"/>
      <c r="Q1" s="273"/>
      <c r="R1" s="273"/>
      <c r="S1" s="273"/>
      <c r="T1" s="273"/>
      <c r="U1" s="273"/>
      <c r="V1" s="273"/>
    </row>
    <row r="2" spans="1:22" s="662" customFormat="1" ht="47.1" customHeight="1">
      <c r="A2" s="661" t="s">
        <v>2017</v>
      </c>
      <c r="C2" s="663" t="s">
        <v>1086</v>
      </c>
      <c r="D2" s="663" t="s">
        <v>347</v>
      </c>
      <c r="E2" s="663" t="s">
        <v>2166</v>
      </c>
      <c r="F2" s="663" t="s">
        <v>2167</v>
      </c>
      <c r="G2" s="663" t="s">
        <v>2168</v>
      </c>
      <c r="H2" s="663" t="s">
        <v>2169</v>
      </c>
      <c r="I2" s="663" t="s">
        <v>2170</v>
      </c>
      <c r="J2" s="663" t="s">
        <v>2171</v>
      </c>
      <c r="K2" s="664" t="s">
        <v>2172</v>
      </c>
      <c r="L2" s="664" t="s">
        <v>1279</v>
      </c>
      <c r="M2" s="664" t="s">
        <v>94</v>
      </c>
      <c r="N2" s="665"/>
      <c r="O2" s="665"/>
    </row>
    <row r="3" spans="1:22" ht="35.4">
      <c r="A3" s="583" t="s">
        <v>42</v>
      </c>
      <c r="B3" s="584" t="b">
        <v>0</v>
      </c>
      <c r="C3" s="670" t="s">
        <v>2154</v>
      </c>
      <c r="D3" s="278" t="s">
        <v>2156</v>
      </c>
      <c r="E3" s="570">
        <v>17</v>
      </c>
      <c r="F3" s="926">
        <v>17</v>
      </c>
      <c r="G3" s="927">
        <v>2</v>
      </c>
      <c r="H3" s="927">
        <v>0.5</v>
      </c>
      <c r="I3" s="927">
        <v>1.0588235294117647</v>
      </c>
      <c r="J3" s="927">
        <v>0.28333333333333333</v>
      </c>
      <c r="K3" s="671">
        <v>850099</v>
      </c>
      <c r="L3" s="672">
        <v>0.24215686274509807</v>
      </c>
      <c r="M3" s="928" t="s">
        <v>279</v>
      </c>
      <c r="N3" s="273"/>
      <c r="O3" s="273"/>
      <c r="P3" s="274"/>
    </row>
    <row r="4" spans="1:22" ht="52.8" customHeight="1">
      <c r="A4" s="583" t="s">
        <v>32</v>
      </c>
      <c r="B4" s="584" t="b">
        <v>1</v>
      </c>
      <c r="C4" s="670" t="s">
        <v>2055</v>
      </c>
      <c r="D4" s="278" t="s">
        <v>2159</v>
      </c>
      <c r="E4" s="570">
        <v>14</v>
      </c>
      <c r="F4" s="926">
        <v>14</v>
      </c>
      <c r="G4" s="927">
        <v>0</v>
      </c>
      <c r="H4" s="927">
        <v>0</v>
      </c>
      <c r="I4" s="927">
        <v>0</v>
      </c>
      <c r="J4" s="927">
        <v>0.23333333333333334</v>
      </c>
      <c r="K4" s="671">
        <v>700105</v>
      </c>
      <c r="L4" s="672">
        <v>0.22619047619047614</v>
      </c>
      <c r="M4" s="928" t="s">
        <v>279</v>
      </c>
      <c r="N4" s="273"/>
      <c r="O4" s="273"/>
      <c r="P4" s="274"/>
    </row>
    <row r="5" spans="1:22" ht="61.8" customHeight="1">
      <c r="A5" s="583" t="s">
        <v>27</v>
      </c>
      <c r="B5" s="584" t="b">
        <v>1</v>
      </c>
      <c r="C5" s="670" t="s">
        <v>2161</v>
      </c>
      <c r="D5" s="278" t="s">
        <v>2159</v>
      </c>
      <c r="E5" s="570">
        <v>6</v>
      </c>
      <c r="F5" s="926">
        <v>6</v>
      </c>
      <c r="G5" s="927">
        <v>1</v>
      </c>
      <c r="H5" s="927">
        <v>0.25</v>
      </c>
      <c r="I5" s="927">
        <v>1.5</v>
      </c>
      <c r="J5" s="927">
        <v>0.1</v>
      </c>
      <c r="K5" s="671">
        <v>300034</v>
      </c>
      <c r="L5" s="672">
        <v>0.2430555555555555</v>
      </c>
      <c r="M5" s="928" t="s">
        <v>279</v>
      </c>
      <c r="O5" s="273"/>
      <c r="P5" s="273"/>
    </row>
    <row r="6" spans="1:22" ht="53.4" customHeight="1">
      <c r="A6" s="583" t="s">
        <v>35</v>
      </c>
      <c r="B6" s="584" t="b">
        <v>1</v>
      </c>
      <c r="C6" s="670" t="s">
        <v>2151</v>
      </c>
      <c r="D6" s="278" t="s">
        <v>2153</v>
      </c>
      <c r="E6" s="570">
        <v>7</v>
      </c>
      <c r="F6" s="926">
        <v>7</v>
      </c>
      <c r="G6" s="927">
        <v>0</v>
      </c>
      <c r="H6" s="927">
        <v>0</v>
      </c>
      <c r="I6" s="927">
        <v>0</v>
      </c>
      <c r="J6" s="927">
        <v>0.11666666666666667</v>
      </c>
      <c r="K6" s="671">
        <v>350041</v>
      </c>
      <c r="L6" s="672">
        <v>0.18333333333333332</v>
      </c>
      <c r="M6" s="928" t="s">
        <v>279</v>
      </c>
      <c r="O6" s="273"/>
      <c r="P6" s="273"/>
    </row>
    <row r="7" spans="1:22" ht="54" customHeight="1">
      <c r="A7" s="583" t="s">
        <v>46</v>
      </c>
      <c r="B7" s="584" t="b">
        <v>0</v>
      </c>
      <c r="C7" s="670" t="s">
        <v>2157</v>
      </c>
      <c r="D7" s="278" t="s">
        <v>2159</v>
      </c>
      <c r="E7" s="570">
        <v>12</v>
      </c>
      <c r="F7" s="926">
        <v>12</v>
      </c>
      <c r="G7" s="927">
        <v>0</v>
      </c>
      <c r="H7" s="927">
        <v>0</v>
      </c>
      <c r="I7" s="927">
        <v>0</v>
      </c>
      <c r="J7" s="927">
        <v>0.2</v>
      </c>
      <c r="K7" s="671">
        <v>600102</v>
      </c>
      <c r="L7" s="672">
        <v>0.21527777777777779</v>
      </c>
      <c r="M7" s="928" t="s">
        <v>279</v>
      </c>
      <c r="O7" s="273"/>
      <c r="P7" s="273"/>
    </row>
    <row r="8" spans="1:22" ht="57.6" customHeight="1">
      <c r="C8" s="670" t="s">
        <v>2163</v>
      </c>
      <c r="D8" s="278" t="s">
        <v>2165</v>
      </c>
      <c r="E8" s="570">
        <v>1</v>
      </c>
      <c r="F8" s="926">
        <v>1</v>
      </c>
      <c r="G8" s="927">
        <v>0</v>
      </c>
      <c r="H8" s="927">
        <v>0</v>
      </c>
      <c r="I8" s="927">
        <v>0</v>
      </c>
      <c r="J8" s="927">
        <v>1.6666666666666666E-2</v>
      </c>
      <c r="K8" s="671">
        <v>50012</v>
      </c>
      <c r="L8" s="672">
        <v>0.19999999999999987</v>
      </c>
      <c r="M8" s="928" t="s">
        <v>279</v>
      </c>
      <c r="O8" s="273"/>
      <c r="P8" s="273"/>
    </row>
    <row r="9" spans="1:22" ht="39" customHeight="1">
      <c r="C9" s="670" t="s">
        <v>2148</v>
      </c>
      <c r="D9" s="278" t="s">
        <v>2150</v>
      </c>
      <c r="E9" s="570">
        <v>3</v>
      </c>
      <c r="F9" s="926">
        <v>3</v>
      </c>
      <c r="G9" s="927">
        <v>1</v>
      </c>
      <c r="H9" s="927">
        <v>0.25</v>
      </c>
      <c r="I9" s="927">
        <v>3</v>
      </c>
      <c r="J9" s="927">
        <v>0.05</v>
      </c>
      <c r="K9" s="671">
        <v>150027</v>
      </c>
      <c r="L9" s="672">
        <v>0.20833333333333334</v>
      </c>
      <c r="M9" s="928" t="s">
        <v>279</v>
      </c>
      <c r="O9" s="273"/>
      <c r="P9" s="273"/>
    </row>
    <row r="10" spans="1:22" ht="60.6" customHeight="1">
      <c r="O10" s="273"/>
      <c r="P10" s="273"/>
    </row>
    <row r="11" spans="1:22">
      <c r="O11" s="273"/>
      <c r="P11" s="273"/>
    </row>
    <row r="12" spans="1:22" ht="43.2" customHeight="1">
      <c r="Q12" s="273"/>
      <c r="R12" s="273"/>
      <c r="S12" s="273"/>
    </row>
    <row r="13" spans="1:22">
      <c r="Q13" s="273"/>
      <c r="R13" s="273"/>
    </row>
    <row r="14" spans="1:22">
      <c r="Q14" s="273"/>
      <c r="R14" s="273"/>
    </row>
    <row r="15" spans="1:22">
      <c r="Q15" s="273"/>
      <c r="R15" s="273"/>
    </row>
    <row r="16" spans="1:22">
      <c r="Q16" s="273"/>
      <c r="R16" s="273"/>
    </row>
    <row r="17" spans="17:21">
      <c r="Q17" s="273"/>
      <c r="R17" s="273"/>
    </row>
    <row r="18" spans="17:21">
      <c r="Q18" s="273"/>
      <c r="R18" s="273"/>
    </row>
    <row r="19" spans="17:21">
      <c r="R19" s="273"/>
    </row>
    <row r="24" spans="17:21" ht="37.5" customHeight="1"/>
    <row r="25" spans="17:21">
      <c r="U25" s="276"/>
    </row>
    <row r="26" spans="17:21">
      <c r="U26" s="276"/>
    </row>
    <row r="27" spans="17:21">
      <c r="U27" s="276"/>
    </row>
    <row r="28" spans="17:21">
      <c r="U28" s="276"/>
    </row>
    <row r="29" spans="17:21">
      <c r="U29" s="276"/>
    </row>
    <row r="30" spans="17:21">
      <c r="U30" s="276"/>
    </row>
    <row r="31" spans="17:21">
      <c r="U31" s="276"/>
    </row>
    <row r="32" spans="17:21">
      <c r="U32" s="276"/>
    </row>
    <row r="33" spans="21:21">
      <c r="U33" s="276"/>
    </row>
    <row r="34" spans="21:21">
      <c r="U34" s="276"/>
    </row>
    <row r="35" spans="21:21">
      <c r="U35" s="276"/>
    </row>
    <row r="36" spans="21:21">
      <c r="U36" s="276"/>
    </row>
    <row r="37" spans="21:21">
      <c r="U37" s="276"/>
    </row>
  </sheetData>
  <sheetProtection sort="0" autoFilter="0" pivotTables="0"/>
  <dataConsolidate/>
  <mergeCells count="1">
    <mergeCell ref="F1:J1"/>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338EE-8A10-4DA9-B624-57101EDC0D5D}">
  <sheetPr codeName="Sheet14">
    <tabColor rgb="FF92D050"/>
  </sheetPr>
  <dimension ref="A1:P16"/>
  <sheetViews>
    <sheetView showGridLines="0" zoomScale="90" zoomScaleNormal="90" workbookViewId="0">
      <selection activeCell="C7" sqref="C7"/>
    </sheetView>
  </sheetViews>
  <sheetFormatPr defaultRowHeight="13.2"/>
  <cols>
    <col min="1" max="1" width="1.109375" style="274" customWidth="1"/>
    <col min="2" max="2" width="37.21875" bestFit="1" customWidth="1"/>
    <col min="3" max="3" width="34.77734375" style="274" bestFit="1" customWidth="1"/>
    <col min="4" max="4" width="80.77734375" style="274" hidden="1" customWidth="1"/>
    <col min="5" max="5" width="17.77734375" style="274" hidden="1" customWidth="1"/>
    <col min="6" max="6" width="48.77734375" style="274" customWidth="1"/>
    <col min="7" max="10" width="12.77734375" style="274" bestFit="1" customWidth="1"/>
    <col min="11" max="11" width="7.109375" style="279" hidden="1" customWidth="1"/>
    <col min="12" max="12" width="18.109375" style="277" bestFit="1" customWidth="1"/>
    <col min="13" max="13" width="20.77734375" style="450" bestFit="1" customWidth="1"/>
    <col min="14" max="14" width="21.109375" style="450" bestFit="1" customWidth="1"/>
    <col min="15" max="15" width="18.77734375" style="450" bestFit="1" customWidth="1"/>
    <col min="16" max="16" width="10.5546875" style="450" bestFit="1" customWidth="1"/>
  </cols>
  <sheetData>
    <row r="1" spans="2:16" ht="6" customHeight="1"/>
    <row r="2" spans="2:16" ht="1.05" customHeight="1"/>
    <row r="3" spans="2:16" ht="42" customHeight="1">
      <c r="B3" s="446" t="s">
        <v>1087</v>
      </c>
      <c r="C3" s="447" t="s">
        <v>471</v>
      </c>
      <c r="D3" s="447" t="s">
        <v>729</v>
      </c>
      <c r="E3" s="447" t="s">
        <v>1114</v>
      </c>
      <c r="F3" s="447" t="s">
        <v>1156</v>
      </c>
      <c r="G3" s="447" t="s">
        <v>1043</v>
      </c>
      <c r="H3" s="447" t="s">
        <v>1044</v>
      </c>
      <c r="I3" s="447" t="s">
        <v>1082</v>
      </c>
      <c r="J3" s="447" t="s">
        <v>1083</v>
      </c>
      <c r="K3" s="447" t="s">
        <v>1079</v>
      </c>
      <c r="L3" s="448" t="s">
        <v>342</v>
      </c>
      <c r="M3" s="449" t="s">
        <v>343</v>
      </c>
      <c r="N3" s="449" t="s">
        <v>344</v>
      </c>
      <c r="O3" s="449" t="s">
        <v>345</v>
      </c>
      <c r="P3" s="447" t="s">
        <v>94</v>
      </c>
    </row>
    <row r="4" spans="2:16" ht="39" customHeight="1">
      <c r="B4" s="511" t="s">
        <v>1216</v>
      </c>
      <c r="C4" s="280" t="s">
        <v>1209</v>
      </c>
      <c r="D4" s="301" t="str">
        <f>IFERROR(_xlfn.XLOOKUP(KPI_monthly[[#This Row],[KPI Name]],[2]!KPI_table[KPI],[2]!KPI_table[KPI Formula]), "")</f>
        <v>(Actual Costs ÷ Forecasted Costs) × 100%</v>
      </c>
      <c r="E4" s="301" t="str">
        <f>IF(KPI_monthly[[#This Row],[KPI Name]]&lt;&gt;"",IF(_xlfn.XLOOKUP(KPI_monthly[[#This Row],[KPI Name]],[2]!KPI_table[KPI],[2]!KPI_table[Notes])&lt;&gt;0, _xlfn.XLOOKUP(KPI_monthly[[#This Row],[KPI Name]],[2]!KPI_table[KPI],[2]!KPI_table[Notes]),""),"")</f>
        <v>Cost forecasts accurate</v>
      </c>
      <c r="F4" s="526" t="str">
        <f>IF(KPI_monthly[[#This Row],[KPI Name]]&lt;&gt;"",IF(_xlfn.XLOOKUP(KPI_monthly[[#This Row],[KPI Name]],[2]!KPI_table[KPI],[2]!KPI_table[🟢 Sample Input Data])&lt;&gt;0, _xlfn.XLOOKUP(KPI_monthly[[#This Row],[KPI Name]],[2]!KPI_table[KPI],[2]!KPI_table[🟢 Sample Input Data]),""),"")</f>
        <v>Input A: Actual: £52M, 
Input B: Forecast: £50M</v>
      </c>
      <c r="G4" s="673">
        <v>8.1999999999999993</v>
      </c>
      <c r="H4" s="673">
        <v>9.3000000000000007</v>
      </c>
      <c r="I4" s="523"/>
      <c r="J4" s="523"/>
      <c r="K4" s="524" t="str">
        <f>IF(KPI_monthly[[#This Row],[KPI Name]]&lt;&gt;"", IF(_xlfn.XLOOKUP(KPI_monthly[[#This Row],[KPI Name]],[2]!KPI_table[KPI],[2]!KPI_table[Unit])&lt;&gt;"",_xlfn.XLOOKUP(KPI_monthly[[#This Row],[KPI Name]],[2]!KPI_table[KPI],[2]!KPI_table[Unit]),""),"")</f>
        <v>%</v>
      </c>
      <c r="L4" s="595" t="s">
        <v>1968</v>
      </c>
      <c r="M4" s="596" t="str">
        <f>IF(KPI_monthly[[#This Row],[KPI Name]]&lt;&gt;"",IF(_xlfn.XLOOKUP(KPI_monthly[[#This Row],[KPI Name]],[2]!KPI_table[KPI],[2]!KPI_table[Green])&lt;&gt;0, _xlfn.XLOOKUP(KPI_monthly[[#This Row],[KPI Name]],[2]!KPI_table[KPI],[2]!KPI_table[Green]),""),"")</f>
        <v>95-105%</v>
      </c>
      <c r="N4" s="451" t="str">
        <f>IF(KPI_monthly[[#This Row],[KPI Name]]&lt;&gt;"",IF(_xlfn.XLOOKUP(KPI_monthly[[#This Row],[KPI Name]],[2]!KPI_table[KPI],[2]!KPI_table[Amber])&lt;&gt;0, _xlfn.XLOOKUP(KPI_monthly[[#This Row],[KPI Name]],[2]!KPI_table[KPI],[2]!KPI_table[Amber]),""),"")</f>
        <v>90-95% or 105-110%</v>
      </c>
      <c r="O4" s="525" t="str">
        <f>IF(KPI_monthly[[#This Row],[KPI Name]]&lt;&gt;"",IF(_xlfn.XLOOKUP(KPI_monthly[[#This Row],[KPI Name]],[2]!KPI_table[KPI],[2]!KPI_table[Red])&lt;&gt;0, _xlfn.XLOOKUP(KPI_monthly[[#This Row],[KPI Name]],[2]!KPI_table[KPI],[2]!KPI_table[Red]),""),"")</f>
        <v>&lt;90% or &gt;110%</v>
      </c>
      <c r="P4" s="515" t="s">
        <v>279</v>
      </c>
    </row>
    <row r="5" spans="2:16" ht="31.2">
      <c r="B5" s="511" t="s">
        <v>1216</v>
      </c>
      <c r="C5" s="280" t="s">
        <v>1212</v>
      </c>
      <c r="D5" s="301" t="str">
        <f>IFERROR(_xlfn.XLOOKUP(KPI_monthly[[#This Row],[KPI Name]],[2]!KPI_table[KPI],[2]!KPI_table[KPI Formula]), "")</f>
        <v>(Actual Completion ÷ Forecasted Completion) × 100%</v>
      </c>
      <c r="E5" s="301" t="str">
        <f>IF(KPI_monthly[[#This Row],[KPI Name]]&lt;&gt;"",IF(_xlfn.XLOOKUP(KPI_monthly[[#This Row],[KPI Name]],[2]!KPI_table[KPI],[2]!KPI_table[Notes])&lt;&gt;0, _xlfn.XLOOKUP(KPI_monthly[[#This Row],[KPI Name]],[2]!KPI_table[KPI],[2]!KPI_table[Notes]),""),"")</f>
        <v>Schedules projected reliably</v>
      </c>
      <c r="F5" s="526" t="str">
        <f>IF(KPI_monthly[[#This Row],[KPI Name]]&lt;&gt;"",IF(_xlfn.XLOOKUP(KPI_monthly[[#This Row],[KPI Name]],[2]!KPI_table[KPI],[2]!KPI_table[🟢 Sample Input Data])&lt;&gt;0, _xlfn.XLOOKUP(KPI_monthly[[#This Row],[KPI Name]],[2]!KPI_table[KPI],[2]!KPI_table[🟢 Sample Input Data]),""),"")</f>
        <v>Input A: Actual: 18 months, 
Input B: Forecast: 17 months</v>
      </c>
      <c r="G5" s="673">
        <v>18</v>
      </c>
      <c r="H5" s="673">
        <v>17</v>
      </c>
      <c r="I5" s="523"/>
      <c r="J5" s="523"/>
      <c r="K5" s="524" t="str">
        <f>IF(KPI_monthly[[#This Row],[KPI Name]]&lt;&gt;"", IF(_xlfn.XLOOKUP(KPI_monthly[[#This Row],[KPI Name]],[2]!KPI_table[KPI],[2]!KPI_table[Unit])&lt;&gt;"",_xlfn.XLOOKUP(KPI_monthly[[#This Row],[KPI Name]],[2]!KPI_table[KPI],[2]!KPI_table[Unit]),""),"")</f>
        <v>%</v>
      </c>
      <c r="L5" s="595" t="s">
        <v>1491</v>
      </c>
      <c r="M5" s="596" t="str">
        <f>IF(KPI_monthly[[#This Row],[KPI Name]]&lt;&gt;"",IF(_xlfn.XLOOKUP(KPI_monthly[[#This Row],[KPI Name]],[2]!KPI_table[KPI],[2]!KPI_table[Green])&lt;&gt;0, _xlfn.XLOOKUP(KPI_monthly[[#This Row],[KPI Name]],[2]!KPI_table[KPI],[2]!KPI_table[Green]),""),"")</f>
        <v>95-105%</v>
      </c>
      <c r="N5" s="451" t="str">
        <f>IF(KPI_monthly[[#This Row],[KPI Name]]&lt;&gt;"",IF(_xlfn.XLOOKUP(KPI_monthly[[#This Row],[KPI Name]],[2]!KPI_table[KPI],[2]!KPI_table[Amber])&lt;&gt;0, _xlfn.XLOOKUP(KPI_monthly[[#This Row],[KPI Name]],[2]!KPI_table[KPI],[2]!KPI_table[Amber]),""),"")</f>
        <v>90-95% or 105-110%</v>
      </c>
      <c r="O5" s="525" t="str">
        <f>IF(KPI_monthly[[#This Row],[KPI Name]]&lt;&gt;"",IF(_xlfn.XLOOKUP(KPI_monthly[[#This Row],[KPI Name]],[2]!KPI_table[KPI],[2]!KPI_table[Red])&lt;&gt;0, _xlfn.XLOOKUP(KPI_monthly[[#This Row],[KPI Name]],[2]!KPI_table[KPI],[2]!KPI_table[Red]),""),"")</f>
        <v>&lt;90% or &gt;110%</v>
      </c>
      <c r="P5" s="513" t="s">
        <v>352</v>
      </c>
    </row>
    <row r="6" spans="2:16" ht="31.2">
      <c r="B6" s="511" t="s">
        <v>1216</v>
      </c>
      <c r="C6" s="280" t="s">
        <v>1164</v>
      </c>
      <c r="D6" s="301" t="str">
        <f>IFERROR(_xlfn.XLOOKUP(KPI_monthly[[#This Row],[KPI Name]],[2]!KPI_table[KPI],[2]!KPI_table[KPI Formula]), "")</f>
        <v>(Change Order Costs ÷ Original Contract Value) × 100%</v>
      </c>
      <c r="E6" s="301" t="str">
        <f>IF(KPI_monthly[[#This Row],[KPI Name]]&lt;&gt;"",IF(_xlfn.XLOOKUP(KPI_monthly[[#This Row],[KPI Name]],[2]!KPI_table[KPI],[2]!KPI_table[Notes])&lt;&gt;0, _xlfn.XLOOKUP(KPI_monthly[[#This Row],[KPI Name]],[2]!KPI_table[KPI],[2]!KPI_table[Notes]),""),"")</f>
        <v>Changes successfully managed</v>
      </c>
      <c r="F6" s="526" t="str">
        <f>IF(KPI_monthly[[#This Row],[KPI Name]]&lt;&gt;"",IF(_xlfn.XLOOKUP(KPI_monthly[[#This Row],[KPI Name]],[2]!KPI_table[KPI],[2]!KPI_table[🟢 Sample Input Data])&lt;&gt;0, _xlfn.XLOOKUP(KPI_monthly[[#This Row],[KPI Name]],[2]!KPI_table[KPI],[2]!KPI_table[🟢 Sample Input Data]),""),"")</f>
        <v>Input A: Change Orders: £22M, 
Input B: Contract: £480M</v>
      </c>
      <c r="G6" s="673">
        <v>22</v>
      </c>
      <c r="H6" s="673">
        <v>480</v>
      </c>
      <c r="I6" s="523"/>
      <c r="J6" s="523"/>
      <c r="K6" s="524" t="str">
        <f>IF(KPI_monthly[[#This Row],[KPI Name]]&lt;&gt;"", IF(_xlfn.XLOOKUP(KPI_monthly[[#This Row],[KPI Name]],[2]!KPI_table[KPI],[2]!KPI_table[Unit])&lt;&gt;"",_xlfn.XLOOKUP(KPI_monthly[[#This Row],[KPI Name]],[2]!KPI_table[KPI],[2]!KPI_table[Unit]),""),"")</f>
        <v>%</v>
      </c>
      <c r="L6" s="595" t="s">
        <v>1492</v>
      </c>
      <c r="M6" s="596" t="str">
        <f>IF(KPI_monthly[[#This Row],[KPI Name]]&lt;&gt;"",IF(_xlfn.XLOOKUP(KPI_monthly[[#This Row],[KPI Name]],[2]!KPI_table[KPI],[2]!KPI_table[Green])&lt;&gt;0, _xlfn.XLOOKUP(KPI_monthly[[#This Row],[KPI Name]],[2]!KPI_table[KPI],[2]!KPI_table[Green]),""),"")</f>
        <v>&lt;5%</v>
      </c>
      <c r="N6" s="451" t="str">
        <f>IF(KPI_monthly[[#This Row],[KPI Name]]&lt;&gt;"",IF(_xlfn.XLOOKUP(KPI_monthly[[#This Row],[KPI Name]],[2]!KPI_table[KPI],[2]!KPI_table[Amber])&lt;&gt;0, _xlfn.XLOOKUP(KPI_monthly[[#This Row],[KPI Name]],[2]!KPI_table[KPI],[2]!KPI_table[Amber]),""),"")</f>
        <v>5-10%</v>
      </c>
      <c r="O6" s="525" t="str">
        <f>IF(KPI_monthly[[#This Row],[KPI Name]]&lt;&gt;"",IF(_xlfn.XLOOKUP(KPI_monthly[[#This Row],[KPI Name]],[2]!KPI_table[KPI],[2]!KPI_table[Red])&lt;&gt;0, _xlfn.XLOOKUP(KPI_monthly[[#This Row],[KPI Name]],[2]!KPI_table[KPI],[2]!KPI_table[Red]),""),"")</f>
        <v>&gt;10%</v>
      </c>
      <c r="P6" s="512" t="s">
        <v>275</v>
      </c>
    </row>
    <row r="7" spans="2:16" ht="31.2">
      <c r="B7" s="514" t="s">
        <v>1216</v>
      </c>
      <c r="C7" s="280" t="s">
        <v>1373</v>
      </c>
      <c r="D7" s="301" t="str">
        <f>IFERROR(_xlfn.XLOOKUP(KPI_monthly[[#This Row],[KPI Name]],[2]!KPI_table[KPI],[2]!KPI_table[KPI Formula]), "")</f>
        <v>(Projects Within Approved Budget ÷ Total Projects) × 100%</v>
      </c>
      <c r="E7" s="301" t="str">
        <f>IF(KPI_monthly[[#This Row],[KPI Name]]&lt;&gt;"",IF(_xlfn.XLOOKUP(KPI_monthly[[#This Row],[KPI Name]],[2]!KPI_table[KPI],[2]!KPI_table[Notes])&lt;&gt;0, _xlfn.XLOOKUP(KPI_monthly[[#This Row],[KPI Name]],[2]!KPI_table[KPI],[2]!KPI_table[Notes]),""),"")</f>
        <v>Simpler than Earned Value, uses actual Southwark budget tracking</v>
      </c>
      <c r="F7" s="526" t="str">
        <f>IF(KPI_monthly[[#This Row],[KPI Name]]&lt;&gt;"",IF(_xlfn.XLOOKUP(KPI_monthly[[#This Row],[KPI Name]],[2]!KPI_table[KPI],[2]!KPI_table[🟢 Sample Input Data])&lt;&gt;0, _xlfn.XLOOKUP(KPI_monthly[[#This Row],[KPI Name]],[2]!KPI_table[KPI],[2]!KPI_table[🟢 Sample Input Data]),""),"")</f>
        <v>Input A: Within Budget: 43, 
Input B: Total: 54</v>
      </c>
      <c r="G7" s="673">
        <v>43</v>
      </c>
      <c r="H7" s="673">
        <v>54</v>
      </c>
      <c r="I7" s="523"/>
      <c r="J7" s="523"/>
      <c r="K7" s="524" t="str">
        <f>IF(KPI_monthly[[#This Row],[KPI Name]]&lt;&gt;"", IF(_xlfn.XLOOKUP(KPI_monthly[[#This Row],[KPI Name]],[2]!KPI_table[KPI],[2]!KPI_table[Unit])&lt;&gt;"",_xlfn.XLOOKUP(KPI_monthly[[#This Row],[KPI Name]],[2]!KPI_table[KPI],[2]!KPI_table[Unit]),""),"")</f>
        <v>%</v>
      </c>
      <c r="L7" s="595" t="s">
        <v>1611</v>
      </c>
      <c r="M7" s="596" t="str">
        <f>IF(KPI_monthly[[#This Row],[KPI Name]]&lt;&gt;"",IF(_xlfn.XLOOKUP(KPI_monthly[[#This Row],[KPI Name]],[2]!KPI_table[KPI],[2]!KPI_table[Green])&lt;&gt;0, _xlfn.XLOOKUP(KPI_monthly[[#This Row],[KPI Name]],[2]!KPI_table[KPI],[2]!KPI_table[Green]),""),"")</f>
        <v>&gt;85%</v>
      </c>
      <c r="N7" s="451" t="str">
        <f>IF(KPI_monthly[[#This Row],[KPI Name]]&lt;&gt;"",IF(_xlfn.XLOOKUP(KPI_monthly[[#This Row],[KPI Name]],[2]!KPI_table[KPI],[2]!KPI_table[Amber])&lt;&gt;0, _xlfn.XLOOKUP(KPI_monthly[[#This Row],[KPI Name]],[2]!KPI_table[KPI],[2]!KPI_table[Amber]),""),"")</f>
        <v>75-85%</v>
      </c>
      <c r="O7" s="525" t="str">
        <f>IF(KPI_monthly[[#This Row],[KPI Name]]&lt;&gt;"",IF(_xlfn.XLOOKUP(KPI_monthly[[#This Row],[KPI Name]],[2]!KPI_table[KPI],[2]!KPI_table[Red])&lt;&gt;0, _xlfn.XLOOKUP(KPI_monthly[[#This Row],[KPI Name]],[2]!KPI_table[KPI],[2]!KPI_table[Red]),""),"")</f>
        <v>&lt;75%</v>
      </c>
      <c r="P7" s="513" t="s">
        <v>352</v>
      </c>
    </row>
    <row r="8" spans="2:16" ht="31.2">
      <c r="B8" s="511" t="s">
        <v>1216</v>
      </c>
      <c r="C8" s="280" t="s">
        <v>1384</v>
      </c>
      <c r="D8" s="301" t="str">
        <f>IFERROR(_xlfn.XLOOKUP(KPI_monthly[[#This Row],[KPI Name]],[2]!KPI_table[KPI],[2]!KPI_table[KPI Formula]), "")</f>
        <v>(Unused Contingency ÷ Total Contingency Available) × 100%</v>
      </c>
      <c r="E8" s="301" t="str">
        <f>IF(KPI_monthly[[#This Row],[KPI Name]]&lt;&gt;"",IF(_xlfn.XLOOKUP(KPI_monthly[[#This Row],[KPI Name]],[2]!KPI_table[KPI],[2]!KPI_table[Notes])&lt;&gt;0, _xlfn.XLOOKUP(KPI_monthly[[#This Row],[KPI Name]],[2]!KPI_table[KPI],[2]!KPI_table[Notes]),""),"")</f>
        <v>Revised: Higher unused contingency = better financial management</v>
      </c>
      <c r="F8" s="526" t="str">
        <f>IF(KPI_monthly[[#This Row],[KPI Name]]&lt;&gt;"",IF(_xlfn.XLOOKUP(KPI_monthly[[#This Row],[KPI Name]],[2]!KPI_table[KPI],[2]!KPI_table[🟢 Sample Input Data])&lt;&gt;0, _xlfn.XLOOKUP(KPI_monthly[[#This Row],[KPI Name]],[2]!KPI_table[KPI],[2]!KPI_table[🟢 Sample Input Data]),""),"")</f>
        <v>Input A: Unused: £17M, 
Input B: Available: £35M</v>
      </c>
      <c r="G8" s="673">
        <v>17</v>
      </c>
      <c r="H8" s="673">
        <v>35</v>
      </c>
      <c r="I8" s="523"/>
      <c r="J8" s="523"/>
      <c r="K8" s="524" t="str">
        <f>IF(KPI_monthly[[#This Row],[KPI Name]]&lt;&gt;"", IF(_xlfn.XLOOKUP(KPI_monthly[[#This Row],[KPI Name]],[2]!KPI_table[KPI],[2]!KPI_table[Unit])&lt;&gt;"",_xlfn.XLOOKUP(KPI_monthly[[#This Row],[KPI Name]],[2]!KPI_table[KPI],[2]!KPI_table[Unit]),""),"")</f>
        <v>%</v>
      </c>
      <c r="L8" s="595" t="s">
        <v>1612</v>
      </c>
      <c r="M8" s="596" t="str">
        <f>IF(KPI_monthly[[#This Row],[KPI Name]]&lt;&gt;"",IF(_xlfn.XLOOKUP(KPI_monthly[[#This Row],[KPI Name]],[2]!KPI_table[KPI],[2]!KPI_table[Green])&lt;&gt;0, _xlfn.XLOOKUP(KPI_monthly[[#This Row],[KPI Name]],[2]!KPI_table[KPI],[2]!KPI_table[Green]),""),"")</f>
        <v>&gt;40%</v>
      </c>
      <c r="N8" s="451" t="str">
        <f>IF(KPI_monthly[[#This Row],[KPI Name]]&lt;&gt;"",IF(_xlfn.XLOOKUP(KPI_monthly[[#This Row],[KPI Name]],[2]!KPI_table[KPI],[2]!KPI_table[Amber])&lt;&gt;0, _xlfn.XLOOKUP(KPI_monthly[[#This Row],[KPI Name]],[2]!KPI_table[KPI],[2]!KPI_table[Amber]),""),"")</f>
        <v>25-40%</v>
      </c>
      <c r="O8" s="525" t="str">
        <f>IF(KPI_monthly[[#This Row],[KPI Name]]&lt;&gt;"",IF(_xlfn.XLOOKUP(KPI_monthly[[#This Row],[KPI Name]],[2]!KPI_table[KPI],[2]!KPI_table[Red])&lt;&gt;0, _xlfn.XLOOKUP(KPI_monthly[[#This Row],[KPI Name]],[2]!KPI_table[KPI],[2]!KPI_table[Red]),""),"")</f>
        <v>&lt;25%</v>
      </c>
      <c r="P8" s="512" t="s">
        <v>275</v>
      </c>
    </row>
    <row r="9" spans="2:16" ht="35.1" customHeight="1">
      <c r="B9" s="511" t="s">
        <v>1217</v>
      </c>
      <c r="C9" s="280" t="s">
        <v>1160</v>
      </c>
      <c r="D9" s="301" t="str">
        <f>IFERROR(_xlfn.XLOOKUP(KPI_monthly[[#This Row],[KPI Name]],[2]!KPI_table[KPI],[2]!KPI_table[KPI Formula]), "")</f>
        <v>(Defects Resolved Within SLA ÷ Total Defects Reported) × 100%</v>
      </c>
      <c r="E9" s="301" t="str">
        <f>IF(KPI_monthly[[#This Row],[KPI Name]]&lt;&gt;"",IF(_xlfn.XLOOKUP(KPI_monthly[[#This Row],[KPI Name]],[2]!KPI_table[KPI],[2]!KPI_table[Notes])&lt;&gt;0, _xlfn.XLOOKUP(KPI_monthly[[#This Row],[KPI Name]],[2]!KPI_table[KPI],[2]!KPI_table[Notes]),""),"")</f>
        <v>Defects resolved</v>
      </c>
      <c r="F9" s="526" t="str">
        <f>IF(KPI_monthly[[#This Row],[KPI Name]]&lt;&gt;"",IF(_xlfn.XLOOKUP(KPI_monthly[[#This Row],[KPI Name]],[2]!KPI_table[KPI],[2]!KPI_table[🟢 Sample Input Data])&lt;&gt;0, _xlfn.XLOOKUP(KPI_monthly[[#This Row],[KPI Name]],[2]!KPI_table[KPI],[2]!KPI_table[🟢 Sample Input Data]),""),"")</f>
        <v>Input A: Resolved: 285, 
Input B: Total: 300</v>
      </c>
      <c r="G9" s="673">
        <v>285</v>
      </c>
      <c r="H9" s="673">
        <v>300</v>
      </c>
      <c r="I9" s="523"/>
      <c r="J9" s="523"/>
      <c r="K9" s="524" t="str">
        <f>IF(KPI_monthly[[#This Row],[KPI Name]]&lt;&gt;"", IF(_xlfn.XLOOKUP(KPI_monthly[[#This Row],[KPI Name]],[2]!KPI_table[KPI],[2]!KPI_table[Unit])&lt;&gt;"",_xlfn.XLOOKUP(KPI_monthly[[#This Row],[KPI Name]],[2]!KPI_table[KPI],[2]!KPI_table[Unit]),""),"")</f>
        <v>%</v>
      </c>
      <c r="L9" s="595" t="s">
        <v>1659</v>
      </c>
      <c r="M9" s="596" t="str">
        <f>IF(KPI_monthly[[#This Row],[KPI Name]]&lt;&gt;"",IF(_xlfn.XLOOKUP(KPI_monthly[[#This Row],[KPI Name]],[2]!KPI_table[KPI],[2]!KPI_table[Green])&lt;&gt;0, _xlfn.XLOOKUP(KPI_monthly[[#This Row],[KPI Name]],[2]!KPI_table[KPI],[2]!KPI_table[Green]),""),"")</f>
        <v>&gt;95%</v>
      </c>
      <c r="N9" s="451" t="str">
        <f>IF(KPI_monthly[[#This Row],[KPI Name]]&lt;&gt;"",IF(_xlfn.XLOOKUP(KPI_monthly[[#This Row],[KPI Name]],[2]!KPI_table[KPI],[2]!KPI_table[Amber])&lt;&gt;0, _xlfn.XLOOKUP(KPI_monthly[[#This Row],[KPI Name]],[2]!KPI_table[KPI],[2]!KPI_table[Amber]),""),"")</f>
        <v>90-95%</v>
      </c>
      <c r="O9" s="525" t="str">
        <f>IF(KPI_monthly[[#This Row],[KPI Name]]&lt;&gt;"",IF(_xlfn.XLOOKUP(KPI_monthly[[#This Row],[KPI Name]],[2]!KPI_table[KPI],[2]!KPI_table[Red])&lt;&gt;0, _xlfn.XLOOKUP(KPI_monthly[[#This Row],[KPI Name]],[2]!KPI_table[KPI],[2]!KPI_table[Red]),""),"")</f>
        <v>&lt;90%</v>
      </c>
      <c r="P9" s="512" t="s">
        <v>275</v>
      </c>
    </row>
    <row r="10" spans="2:16" ht="31.2">
      <c r="B10" s="511" t="s">
        <v>1217</v>
      </c>
      <c r="C10" s="280" t="s">
        <v>1187</v>
      </c>
      <c r="D10" s="301" t="str">
        <f>IFERROR(_xlfn.XLOOKUP(KPI_monthly[[#This Row],[KPI Name]],[2]!KPI_table[KPI],[2]!KPI_table[KPI Formula]), "")</f>
        <v>(Quality Inspections Passed First Time ÷ Total Quality Inspections) × 100%</v>
      </c>
      <c r="E10" s="301" t="str">
        <f>IF(KPI_monthly[[#This Row],[KPI Name]]&lt;&gt;"",IF(_xlfn.XLOOKUP(KPI_monthly[[#This Row],[KPI Name]],[2]!KPI_table[KPI],[2]!KPI_table[Notes])&lt;&gt;0, _xlfn.XLOOKUP(KPI_monthly[[#This Row],[KPI Name]],[2]!KPI_table[KPI],[2]!KPI_table[Notes]),""),"")</f>
        <v>Quality standards met</v>
      </c>
      <c r="F10" s="526" t="str">
        <f>IF(KPI_monthly[[#This Row],[KPI Name]]&lt;&gt;"",IF(_xlfn.XLOOKUP(KPI_monthly[[#This Row],[KPI Name]],[2]!KPI_table[KPI],[2]!KPI_table[🟢 Sample Input Data])&lt;&gt;0, _xlfn.XLOOKUP(KPI_monthly[[#This Row],[KPI Name]],[2]!KPI_table[KPI],[2]!KPI_table[🟢 Sample Input Data]),""),"")</f>
        <v>Input A: First Time: 190, 
Input B: Total: 210</v>
      </c>
      <c r="G10" s="673">
        <v>0.4</v>
      </c>
      <c r="H10" s="673">
        <v>0.8</v>
      </c>
      <c r="I10" s="523"/>
      <c r="J10" s="523"/>
      <c r="K10" s="524" t="str">
        <f>IF(KPI_monthly[[#This Row],[KPI Name]]&lt;&gt;"", IF(_xlfn.XLOOKUP(KPI_monthly[[#This Row],[KPI Name]],[2]!KPI_table[KPI],[2]!KPI_table[Unit])&lt;&gt;"",_xlfn.XLOOKUP(KPI_monthly[[#This Row],[KPI Name]],[2]!KPI_table[KPI],[2]!KPI_table[Unit]),""),"")</f>
        <v>%</v>
      </c>
      <c r="L10" s="595" t="s">
        <v>1493</v>
      </c>
      <c r="M10" s="596" t="str">
        <f>IF(KPI_monthly[[#This Row],[KPI Name]]&lt;&gt;"",IF(_xlfn.XLOOKUP(KPI_monthly[[#This Row],[KPI Name]],[2]!KPI_table[KPI],[2]!KPI_table[Green])&lt;&gt;0, _xlfn.XLOOKUP(KPI_monthly[[#This Row],[KPI Name]],[2]!KPI_table[KPI],[2]!KPI_table[Green]),""),"")</f>
        <v>&gt;90%</v>
      </c>
      <c r="N10" s="451" t="str">
        <f>IF(KPI_monthly[[#This Row],[KPI Name]]&lt;&gt;"",IF(_xlfn.XLOOKUP(KPI_monthly[[#This Row],[KPI Name]],[2]!KPI_table[KPI],[2]!KPI_table[Amber])&lt;&gt;0, _xlfn.XLOOKUP(KPI_monthly[[#This Row],[KPI Name]],[2]!KPI_table[KPI],[2]!KPI_table[Amber]),""),"")</f>
        <v>85-90%</v>
      </c>
      <c r="O10" s="525" t="str">
        <f>IF(KPI_monthly[[#This Row],[KPI Name]]&lt;&gt;"",IF(_xlfn.XLOOKUP(KPI_monthly[[#This Row],[KPI Name]],[2]!KPI_table[KPI],[2]!KPI_table[Red])&lt;&gt;0, _xlfn.XLOOKUP(KPI_monthly[[#This Row],[KPI Name]],[2]!KPI_table[KPI],[2]!KPI_table[Red]),""),"")</f>
        <v>&lt;85%</v>
      </c>
      <c r="P10" s="515" t="s">
        <v>279</v>
      </c>
    </row>
    <row r="11" spans="2:16" ht="31.2">
      <c r="B11" s="511" t="s">
        <v>1217</v>
      </c>
      <c r="C11" s="280" t="s">
        <v>1232</v>
      </c>
      <c r="D11" s="301" t="str">
        <f>IFERROR(_xlfn.XLOOKUP(KPI_monthly[[#This Row],[KPI Name]],[2]!KPI_table[KPI],[2]!KPI_table[KPI Formula]), "")</f>
        <v>(Satisfied Residents ÷ Survey Respondents) × 100%</v>
      </c>
      <c r="E11" s="301" t="str">
        <f>IF(KPI_monthly[[#This Row],[KPI Name]]&lt;&gt;"",IF(_xlfn.XLOOKUP(KPI_monthly[[#This Row],[KPI Name]],[2]!KPI_table[KPI],[2]!KPI_table[Notes])&lt;&gt;0, _xlfn.XLOOKUP(KPI_monthly[[#This Row],[KPI Name]],[2]!KPI_table[KPI],[2]!KPI_table[Notes]),""),"")</f>
        <v>Resident satisfaction, based on 12-month survey</v>
      </c>
      <c r="F11" s="526" t="str">
        <f>IF(KPI_monthly[[#This Row],[KPI Name]]&lt;&gt;"",IF(_xlfn.XLOOKUP(KPI_monthly[[#This Row],[KPI Name]],[2]!KPI_table[KPI],[2]!KPI_table[🟢 Sample Input Data])&lt;&gt;0, _xlfn.XLOOKUP(KPI_monthly[[#This Row],[KPI Name]],[2]!KPI_table[KPI],[2]!KPI_table[🟢 Sample Input Data]),""),"")</f>
        <v>Input A: Satisfied: 78, 
Input B: Total: 100</v>
      </c>
      <c r="G11" s="673">
        <v>70</v>
      </c>
      <c r="H11" s="673">
        <v>50</v>
      </c>
      <c r="I11" s="523"/>
      <c r="J11" s="523"/>
      <c r="K11" s="524" t="str">
        <f>IF(KPI_monthly[[#This Row],[KPI Name]]&lt;&gt;"", IF(_xlfn.XLOOKUP(KPI_monthly[[#This Row],[KPI Name]],[2]!KPI_table[KPI],[2]!KPI_table[Unit])&lt;&gt;"",_xlfn.XLOOKUP(KPI_monthly[[#This Row],[KPI Name]],[2]!KPI_table[KPI],[2]!KPI_table[Unit]),""),"")</f>
        <v>%</v>
      </c>
      <c r="L11" s="595" t="s">
        <v>1657</v>
      </c>
      <c r="M11" s="596" t="str">
        <f>IF(KPI_monthly[[#This Row],[KPI Name]]&lt;&gt;"",IF(_xlfn.XLOOKUP(KPI_monthly[[#This Row],[KPI Name]],[2]!KPI_table[KPI],[2]!KPI_table[Green])&lt;&gt;0, _xlfn.XLOOKUP(KPI_monthly[[#This Row],[KPI Name]],[2]!KPI_table[KPI],[2]!KPI_table[Green]),""),"")</f>
        <v>&gt;80%</v>
      </c>
      <c r="N11" s="451" t="str">
        <f>IF(KPI_monthly[[#This Row],[KPI Name]]&lt;&gt;"",IF(_xlfn.XLOOKUP(KPI_monthly[[#This Row],[KPI Name]],[2]!KPI_table[KPI],[2]!KPI_table[Amber])&lt;&gt;0, _xlfn.XLOOKUP(KPI_monthly[[#This Row],[KPI Name]],[2]!KPI_table[KPI],[2]!KPI_table[Amber]),""),"")</f>
        <v>65-80%</v>
      </c>
      <c r="O11" s="525" t="str">
        <f>IF(KPI_monthly[[#This Row],[KPI Name]]&lt;&gt;"",IF(_xlfn.XLOOKUP(KPI_monthly[[#This Row],[KPI Name]],[2]!KPI_table[KPI],[2]!KPI_table[Red])&lt;&gt;0, _xlfn.XLOOKUP(KPI_monthly[[#This Row],[KPI Name]],[2]!KPI_table[KPI],[2]!KPI_table[Red]),""),"")</f>
        <v>&lt;65%</v>
      </c>
      <c r="P11" s="512" t="s">
        <v>275</v>
      </c>
    </row>
    <row r="12" spans="2:16" ht="31.2">
      <c r="B12" s="441" t="s">
        <v>1222</v>
      </c>
      <c r="C12" s="280" t="s">
        <v>1244</v>
      </c>
      <c r="D12" s="301" t="str">
        <f>IFERROR(_xlfn.XLOOKUP(KPI_monthly[[#This Row],[KPI Name]],[2]!KPI_table[KPI],[2]!KPI_table[KPI Formula]), "")</f>
        <v>(Reports Submitted On Time ÷ Total Reports Due) × 100%</v>
      </c>
      <c r="E12" s="301" t="str">
        <f>IF(KPI_monthly[[#This Row],[KPI Name]]&lt;&gt;"",IF(_xlfn.XLOOKUP(KPI_monthly[[#This Row],[KPI Name]],[2]!KPI_table[KPI],[2]!KPI_table[Notes])&lt;&gt;0, _xlfn.XLOOKUP(KPI_monthly[[#This Row],[KPI Name]],[2]!KPI_table[KPI],[2]!KPI_table[Notes]),""),"")</f>
        <v>Statutory &amp; internal reports on time, includes Cabinet reports, GLA returns</v>
      </c>
      <c r="F12" s="526" t="str">
        <f>IF(KPI_monthly[[#This Row],[KPI Name]]&lt;&gt;"",IF(_xlfn.XLOOKUP(KPI_monthly[[#This Row],[KPI Name]],[2]!KPI_table[KPI],[2]!KPI_table[🟢 Sample Input Data])&lt;&gt;0, _xlfn.XLOOKUP(KPI_monthly[[#This Row],[KPI Name]],[2]!KPI_table[KPI],[2]!KPI_table[🟢 Sample Input Data]),""),"")</f>
        <v>Input A: On time: 46, 
Input B: Total: 50</v>
      </c>
      <c r="G12" s="673"/>
      <c r="H12" s="673"/>
      <c r="I12" s="523"/>
      <c r="J12" s="523"/>
      <c r="K12" s="524" t="str">
        <f>IF(KPI_monthly[[#This Row],[KPI Name]]&lt;&gt;"", IF(_xlfn.XLOOKUP(KPI_monthly[[#This Row],[KPI Name]],[2]!KPI_table[KPI],[2]!KPI_table[Unit])&lt;&gt;"",_xlfn.XLOOKUP(KPI_monthly[[#This Row],[KPI Name]],[2]!KPI_table[KPI],[2]!KPI_table[Unit]),""),"")</f>
        <v>%</v>
      </c>
      <c r="L12" s="595" t="s">
        <v>1977</v>
      </c>
      <c r="M12" s="596" t="str">
        <f>IF(KPI_monthly[[#This Row],[KPI Name]]&lt;&gt;"",IF(_xlfn.XLOOKUP(KPI_monthly[[#This Row],[KPI Name]],[2]!KPI_table[KPI],[2]!KPI_table[Green])&lt;&gt;0, _xlfn.XLOOKUP(KPI_monthly[[#This Row],[KPI Name]],[2]!KPI_table[KPI],[2]!KPI_table[Green]),""),"")</f>
        <v>&gt;95%</v>
      </c>
      <c r="N12" s="451" t="str">
        <f>IF(KPI_monthly[[#This Row],[KPI Name]]&lt;&gt;"",IF(_xlfn.XLOOKUP(KPI_monthly[[#This Row],[KPI Name]],[2]!KPI_table[KPI],[2]!KPI_table[Amber])&lt;&gt;0, _xlfn.XLOOKUP(KPI_monthly[[#This Row],[KPI Name]],[2]!KPI_table[KPI],[2]!KPI_table[Amber]),""),"")</f>
        <v>90-95%</v>
      </c>
      <c r="O12" s="525" t="str">
        <f>IF(KPI_monthly[[#This Row],[KPI Name]]&lt;&gt;"",IF(_xlfn.XLOOKUP(KPI_monthly[[#This Row],[KPI Name]],[2]!KPI_table[KPI],[2]!KPI_table[Red])&lt;&gt;0, _xlfn.XLOOKUP(KPI_monthly[[#This Row],[KPI Name]],[2]!KPI_table[KPI],[2]!KPI_table[Red]),""),"")</f>
        <v>&lt;90%</v>
      </c>
      <c r="P12" s="674"/>
    </row>
    <row r="13" spans="2:16" ht="62.4">
      <c r="B13" s="441" t="s">
        <v>1222</v>
      </c>
      <c r="C13" s="280" t="s">
        <v>810</v>
      </c>
      <c r="D13" s="301" t="str">
        <f>IFERROR(_xlfn.XLOOKUP(KPI_monthly[[#This Row],[KPI Name]],[2]!KPI_table[KPI],[2]!KPI_table[KPI Formula]), "")</f>
        <v>((Safety × 40%) + (Quality × 30%) + (Delivery × 20%) + (Commercial × 10%))</v>
      </c>
      <c r="E13" s="301" t="str">
        <f>IF(KPI_monthly[[#This Row],[KPI Name]]&lt;&gt;"",IF(_xlfn.XLOOKUP(KPI_monthly[[#This Row],[KPI Name]],[2]!KPI_table[KPI],[2]!KPI_table[Notes])&lt;&gt;0, _xlfn.XLOOKUP(KPI_monthly[[#This Row],[KPI Name]],[2]!KPI_table[KPI],[2]!KPI_table[Notes]),""),"")</f>
        <v>Revised weighting prioritizing safety and quality for social housing</v>
      </c>
      <c r="F13" s="526" t="str">
        <f>IF(KPI_monthly[[#This Row],[KPI Name]]&lt;&gt;"",IF(_xlfn.XLOOKUP(KPI_monthly[[#This Row],[KPI Name]],[2]!KPI_table[KPI],[2]!KPI_table[🟢 Sample Input Data])&lt;&gt;0, _xlfn.XLOOKUP(KPI_monthly[[#This Row],[KPI Name]],[2]!KPI_table[KPI],[2]!KPI_table[🟢 Sample Input Data]),""),"")</f>
        <v>Input A: Safety: 92%, 
Input B: Quality: 88%, 
Input C: Delivery: 85%, 
Input D: Commercial: 80%</v>
      </c>
      <c r="G13" s="673"/>
      <c r="H13" s="673"/>
      <c r="I13" s="673"/>
      <c r="J13" s="673"/>
      <c r="K13" s="524" t="str">
        <f>IF(KPI_monthly[[#This Row],[KPI Name]]&lt;&gt;"", IF(_xlfn.XLOOKUP(KPI_monthly[[#This Row],[KPI Name]],[2]!KPI_table[KPI],[2]!KPI_table[Unit])&lt;&gt;"",_xlfn.XLOOKUP(KPI_monthly[[#This Row],[KPI Name]],[2]!KPI_table[KPI],[2]!KPI_table[Unit]),""),"")</f>
        <v/>
      </c>
      <c r="L13" s="595" t="s">
        <v>1977</v>
      </c>
      <c r="M13" s="596" t="str">
        <f>IF(KPI_monthly[[#This Row],[KPI Name]]&lt;&gt;"",IF(_xlfn.XLOOKUP(KPI_monthly[[#This Row],[KPI Name]],[2]!KPI_table[KPI],[2]!KPI_table[Green])&lt;&gt;0, _xlfn.XLOOKUP(KPI_monthly[[#This Row],[KPI Name]],[2]!KPI_table[KPI],[2]!KPI_table[Green]),""),"")</f>
        <v>&gt;85%</v>
      </c>
      <c r="N13" s="451" t="str">
        <f>IF(KPI_monthly[[#This Row],[KPI Name]]&lt;&gt;"",IF(_xlfn.XLOOKUP(KPI_monthly[[#This Row],[KPI Name]],[2]!KPI_table[KPI],[2]!KPI_table[Amber])&lt;&gt;0, _xlfn.XLOOKUP(KPI_monthly[[#This Row],[KPI Name]],[2]!KPI_table[KPI],[2]!KPI_table[Amber]),""),"")</f>
        <v>75-85%</v>
      </c>
      <c r="O13" s="525" t="str">
        <f>IF(KPI_monthly[[#This Row],[KPI Name]]&lt;&gt;"",IF(_xlfn.XLOOKUP(KPI_monthly[[#This Row],[KPI Name]],[2]!KPI_table[KPI],[2]!KPI_table[Red])&lt;&gt;0, _xlfn.XLOOKUP(KPI_monthly[[#This Row],[KPI Name]],[2]!KPI_table[KPI],[2]!KPI_table[Red]),""),"")</f>
        <v>&lt;75%</v>
      </c>
      <c r="P13" s="674"/>
    </row>
    <row r="14" spans="2:16" ht="46.8">
      <c r="B14" s="441" t="s">
        <v>654</v>
      </c>
      <c r="C14" s="280" t="s">
        <v>686</v>
      </c>
      <c r="D14" s="301" t="str">
        <f>IFERROR(_xlfn.XLOOKUP(KPI_monthly[[#This Row],[KPI Name]],[2]!KPI_table[KPI],[2]!KPI_table[KPI Formula]), "")</f>
        <v>(Programme Accident Frequency Rate ÷ Industry Benchmark Rate)</v>
      </c>
      <c r="E14" s="301" t="str">
        <f>IF(KPI_monthly[[#This Row],[KPI Name]]&lt;&gt;"",IF(_xlfn.XLOOKUP(KPI_monthly[[#This Row],[KPI Name]],[2]!KPI_table[KPI],[2]!KPI_table[Notes])&lt;&gt;0, _xlfn.XLOOKUP(KPI_monthly[[#This Row],[KPI Name]],[2]!KPI_table[KPI],[2]!KPI_table[Notes]),""),"")</f>
        <v>Safety targets met</v>
      </c>
      <c r="F14" s="526" t="str">
        <f>IF(KPI_monthly[[#This Row],[KPI Name]]&lt;&gt;"",IF(_xlfn.XLOOKUP(KPI_monthly[[#This Row],[KPI Name]],[2]!KPI_table[KPI],[2]!KPI_table[🟢 Sample Input Data])&lt;&gt;0, _xlfn.XLOOKUP(KPI_monthly[[#This Row],[KPI Name]],[2]!KPI_table[KPI],[2]!KPI_table[🟢 Sample Input Data]),""),"")</f>
        <v>Input A: Programme Accident Frequency Rate: 0.4, 
Input B: Industry Benchmark Rate: 0.8</v>
      </c>
      <c r="G14" s="673"/>
      <c r="H14" s="673"/>
      <c r="I14" s="523"/>
      <c r="J14" s="523"/>
      <c r="K14" s="524" t="str">
        <f>IF(KPI_monthly[[#This Row],[KPI Name]]&lt;&gt;"", IF(_xlfn.XLOOKUP(KPI_monthly[[#This Row],[KPI Name]],[2]!KPI_table[KPI],[2]!KPI_table[Unit])&lt;&gt;"",_xlfn.XLOOKUP(KPI_monthly[[#This Row],[KPI Name]],[2]!KPI_table[KPI],[2]!KPI_table[Unit]),""),"")</f>
        <v/>
      </c>
      <c r="L14" s="595" t="s">
        <v>1977</v>
      </c>
      <c r="M14" s="596" t="str">
        <f>IF(KPI_monthly[[#This Row],[KPI Name]]&lt;&gt;"",IF(_xlfn.XLOOKUP(KPI_monthly[[#This Row],[KPI Name]],[2]!KPI_table[KPI],[2]!KPI_table[Green])&lt;&gt;0, _xlfn.XLOOKUP(KPI_monthly[[#This Row],[KPI Name]],[2]!KPI_table[KPI],[2]!KPI_table[Green]),""),"")</f>
        <v>&lt;0.5</v>
      </c>
      <c r="N14" s="451" t="str">
        <f>IF(KPI_monthly[[#This Row],[KPI Name]]&lt;&gt;"",IF(_xlfn.XLOOKUP(KPI_monthly[[#This Row],[KPI Name]],[2]!KPI_table[KPI],[2]!KPI_table[Amber])&lt;&gt;0, _xlfn.XLOOKUP(KPI_monthly[[#This Row],[KPI Name]],[2]!KPI_table[KPI],[2]!KPI_table[Amber]),""),"")</f>
        <v>0.5-0.8</v>
      </c>
      <c r="O14" s="525" t="str">
        <f>IF(KPI_monthly[[#This Row],[KPI Name]]&lt;&gt;"",IF(_xlfn.XLOOKUP(KPI_monthly[[#This Row],[KPI Name]],[2]!KPI_table[KPI],[2]!KPI_table[Red])&lt;&gt;0, _xlfn.XLOOKUP(KPI_monthly[[#This Row],[KPI Name]],[2]!KPI_table[KPI],[2]!KPI_table[Red]),""),"")</f>
        <v>&gt;0.8</v>
      </c>
      <c r="P14" s="674"/>
    </row>
    <row r="15" spans="2:16" ht="31.2">
      <c r="B15" s="441" t="s">
        <v>1463</v>
      </c>
      <c r="C15" s="280" t="s">
        <v>1250</v>
      </c>
      <c r="D15" s="301" t="str">
        <f>IFERROR(_xlfn.XLOOKUP(KPI_monthly[[#This Row],[KPI Name]],[2]!KPI_table[KPI],[2]!KPI_table[KPI Formula]), "")</f>
        <v>(Schemes Aligned to BC Objectives ÷ Total Schemes) × 100%</v>
      </c>
      <c r="E15" s="301" t="str">
        <f>IF(KPI_monthly[[#This Row],[KPI Name]]&lt;&gt;"",IF(_xlfn.XLOOKUP(KPI_monthly[[#This Row],[KPI Name]],[2]!KPI_table[KPI],[2]!KPI_table[Notes])&lt;&gt;0, _xlfn.XLOOKUP(KPI_monthly[[#This Row],[KPI Name]],[2]!KPI_table[KPI],[2]!KPI_table[Notes]),""),"")</f>
        <v>Strategic alignment maintained, assessment against original business case</v>
      </c>
      <c r="F15" s="526" t="str">
        <f>IF(KPI_monthly[[#This Row],[KPI Name]]&lt;&gt;"",IF(_xlfn.XLOOKUP(KPI_monthly[[#This Row],[KPI Name]],[2]!KPI_table[KPI],[2]!KPI_table[🟢 Sample Input Data])&lt;&gt;0, _xlfn.XLOOKUP(KPI_monthly[[#This Row],[KPI Name]],[2]!KPI_table[KPI],[2]!KPI_table[🟢 Sample Input Data]),""),"")</f>
        <v>Input A: Schemes Aligned: 19, 
Input B: Total Schemes: 20</v>
      </c>
      <c r="G15" s="673"/>
      <c r="H15" s="673"/>
      <c r="I15" s="523"/>
      <c r="J15" s="523"/>
      <c r="K15" s="524" t="str">
        <f>IF(KPI_monthly[[#This Row],[KPI Name]]&lt;&gt;"", IF(_xlfn.XLOOKUP(KPI_monthly[[#This Row],[KPI Name]],[2]!KPI_table[KPI],[2]!KPI_table[Unit])&lt;&gt;"",_xlfn.XLOOKUP(KPI_monthly[[#This Row],[KPI Name]],[2]!KPI_table[KPI],[2]!KPI_table[Unit]),""),"")</f>
        <v>%</v>
      </c>
      <c r="L15" s="595" t="s">
        <v>1977</v>
      </c>
      <c r="M15" s="596" t="str">
        <f>IF(KPI_monthly[[#This Row],[KPI Name]]&lt;&gt;"",IF(_xlfn.XLOOKUP(KPI_monthly[[#This Row],[KPI Name]],[2]!KPI_table[KPI],[2]!KPI_table[Green])&lt;&gt;0, _xlfn.XLOOKUP(KPI_monthly[[#This Row],[KPI Name]],[2]!KPI_table[KPI],[2]!KPI_table[Green]),""),"")</f>
        <v>&gt;95%</v>
      </c>
      <c r="N15" s="451" t="str">
        <f>IF(KPI_monthly[[#This Row],[KPI Name]]&lt;&gt;"",IF(_xlfn.XLOOKUP(KPI_monthly[[#This Row],[KPI Name]],[2]!KPI_table[KPI],[2]!KPI_table[Amber])&lt;&gt;0, _xlfn.XLOOKUP(KPI_monthly[[#This Row],[KPI Name]],[2]!KPI_table[KPI],[2]!KPI_table[Amber]),""),"")</f>
        <v>85-95%</v>
      </c>
      <c r="O15" s="525" t="str">
        <f>IF(KPI_monthly[[#This Row],[KPI Name]]&lt;&gt;"",IF(_xlfn.XLOOKUP(KPI_monthly[[#This Row],[KPI Name]],[2]!KPI_table[KPI],[2]!KPI_table[Red])&lt;&gt;0, _xlfn.XLOOKUP(KPI_monthly[[#This Row],[KPI Name]],[2]!KPI_table[KPI],[2]!KPI_table[Red]),""),"")</f>
        <v>&lt;85%</v>
      </c>
      <c r="P15" s="674"/>
    </row>
    <row r="16" spans="2:16" ht="15.6">
      <c r="B16" s="441" t="s">
        <v>1216</v>
      </c>
      <c r="C16" s="280"/>
      <c r="D16" s="301" t="str">
        <f>IFERROR(_xlfn.XLOOKUP(KPI_monthly[[#This Row],[KPI Name]],[2]!KPI_table[KPI],[2]!KPI_table[KPI Formula]), "")</f>
        <v/>
      </c>
      <c r="E16" s="301" t="str">
        <f>IF(KPI_monthly[[#This Row],[KPI Name]]&lt;&gt;"",IF(_xlfn.XLOOKUP(KPI_monthly[[#This Row],[KPI Name]],[2]!KPI_table[KPI],[2]!KPI_table[Notes])&lt;&gt;0, _xlfn.XLOOKUP(KPI_monthly[[#This Row],[KPI Name]],[2]!KPI_table[KPI],[2]!KPI_table[Notes]),""),"")</f>
        <v/>
      </c>
      <c r="F16" s="526" t="str">
        <f>IF(KPI_monthly[[#This Row],[KPI Name]]&lt;&gt;"",IF(_xlfn.XLOOKUP(KPI_monthly[[#This Row],[KPI Name]],[2]!KPI_table[KPI],[2]!KPI_table[🟢 Sample Input Data])&lt;&gt;0, _xlfn.XLOOKUP(KPI_monthly[[#This Row],[KPI Name]],[2]!KPI_table[KPI],[2]!KPI_table[🟢 Sample Input Data]),""),"")</f>
        <v/>
      </c>
      <c r="G16" s="523"/>
      <c r="H16" s="523"/>
      <c r="I16" s="523"/>
      <c r="J16" s="523"/>
      <c r="K16" s="524" t="str">
        <f>IF(KPI_monthly[[#This Row],[KPI Name]]&lt;&gt;"", IF(_xlfn.XLOOKUP(KPI_monthly[[#This Row],[KPI Name]],[2]!KPI_table[KPI],[2]!KPI_table[Unit])&lt;&gt;"",_xlfn.XLOOKUP(KPI_monthly[[#This Row],[KPI Name]],[2]!KPI_table[KPI],[2]!KPI_table[Unit]),""),"")</f>
        <v/>
      </c>
      <c r="L16" s="595"/>
      <c r="M16" s="596" t="str">
        <f>IF(KPI_monthly[[#This Row],[KPI Name]]&lt;&gt;"",IF(_xlfn.XLOOKUP(KPI_monthly[[#This Row],[KPI Name]],[2]!KPI_table[KPI],[2]!KPI_table[Green])&lt;&gt;0, _xlfn.XLOOKUP(KPI_monthly[[#This Row],[KPI Name]],[2]!KPI_table[KPI],[2]!KPI_table[Green]),""),"")</f>
        <v/>
      </c>
      <c r="N16" s="451" t="str">
        <f>IF(KPI_monthly[[#This Row],[KPI Name]]&lt;&gt;"",IF(_xlfn.XLOOKUP(KPI_monthly[[#This Row],[KPI Name]],[2]!KPI_table[KPI],[2]!KPI_table[Amber])&lt;&gt;0, _xlfn.XLOOKUP(KPI_monthly[[#This Row],[KPI Name]],[2]!KPI_table[KPI],[2]!KPI_table[Amber]),""),"")</f>
        <v/>
      </c>
      <c r="O16" s="525" t="str">
        <f>IF(KPI_monthly[[#This Row],[KPI Name]]&lt;&gt;"",IF(_xlfn.XLOOKUP(KPI_monthly[[#This Row],[KPI Name]],[2]!KPI_table[KPI],[2]!KPI_table[Red])&lt;&gt;0, _xlfn.XLOOKUP(KPI_monthly[[#This Row],[KPI Name]],[2]!KPI_table[KPI],[2]!KPI_table[Red]),""),"")</f>
        <v/>
      </c>
      <c r="P16" s="674"/>
    </row>
  </sheetData>
  <dataConsolidate/>
  <dataValidations count="6">
    <dataValidation type="list" allowBlank="1" showInputMessage="1" showErrorMessage="1" sqref="C4:C8 C16" xr:uid="{ABE525C4-494F-45A7-BC00-25CC8B316536}">
      <formula1>"Programme Delivery Success Rate,Budget Performance Rate,Average Budget Variance,Budget Variance Percentage,Contingency Management Score,Cost Forecast Accuracy,Schedule Forecast Reliability,Change Order Impact,Risk Management Effectiveness"</formula1>
    </dataValidation>
    <dataValidation type="list" allowBlank="1" showInputMessage="1" showErrorMessage="1" sqref="C9:C11" xr:uid="{75F6E838-8044-43FC-AFF3-CCB5D5E5F0E7}">
      <formula1>"Defect Resolution Rate,Quality Assurance Success,Digital Process Adoption Rate,Post-Occupancy Satisfaction"</formula1>
    </dataValidation>
    <dataValidation type="list" allowBlank="1" showInputMessage="1" showErrorMessage="1" sqref="C14" xr:uid="{33AEBCC1-1913-4ECE-A5A8-4B391D801CB6}">
      <formula1>"Building Standards Compliance Rate,Regulatory Compliance Rate,Planning Permission Success Rate,Building Regulation Compliance,Safety Performance Index,Housing Delivery Delay Cost"</formula1>
    </dataValidation>
    <dataValidation type="list" allowBlank="1" showInputMessage="1" showErrorMessage="1" sqref="C15" xr:uid="{8AC9F09E-9069-45D2-9C2C-AFDFE5152DA7}">
      <formula1>"Benefits Realisation Rate,Project Outcome Alignment Index,Scope Adherence Rate,Business Case Cost Variance"</formula1>
    </dataValidation>
    <dataValidation type="list" allowBlank="1" showInputMessage="1" showErrorMessage="1" sqref="C12:C13" xr:uid="{519630F6-6176-4179-BF0E-4EE3E920A8AC}">
      <formula1>"Supplier Financial Stability,Reporting Timeliness,Contractor Performance Index,Critical Role Fill Rate,Contract Dispute Resolution"</formula1>
    </dataValidation>
    <dataValidation type="list" allowBlank="1" showInputMessage="1" showErrorMessage="1" sqref="B4:B16" xr:uid="{ACFA41BC-37F1-4B85-8256-44B60E40CBDE}">
      <formula1>Objectives</formula1>
    </dataValidation>
  </dataValidation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835F2-F1AB-4AB5-A60C-88B40B5CB6E4}">
  <sheetPr codeName="Sheet17"/>
  <dimension ref="A1:I27"/>
  <sheetViews>
    <sheetView workbookViewId="0">
      <selection activeCell="I27" sqref="D3:I27"/>
    </sheetView>
  </sheetViews>
  <sheetFormatPr defaultRowHeight="13.2"/>
  <cols>
    <col min="1" max="1" width="19.109375" customWidth="1"/>
    <col min="2" max="2" width="18.33203125" customWidth="1"/>
    <col min="3" max="3" width="14.109375" customWidth="1"/>
    <col min="4" max="4" width="17.33203125" customWidth="1"/>
    <col min="5" max="5" width="15" customWidth="1"/>
    <col min="6" max="6" width="15.109375" customWidth="1"/>
    <col min="7" max="7" width="17" customWidth="1"/>
    <col min="9" max="9" width="16.6640625" customWidth="1"/>
  </cols>
  <sheetData>
    <row r="1" spans="1:9" ht="22.8">
      <c r="A1" s="815" t="s">
        <v>1038</v>
      </c>
      <c r="B1" s="816"/>
      <c r="C1" s="816"/>
      <c r="D1" s="816"/>
      <c r="E1" s="816"/>
      <c r="F1" s="816"/>
      <c r="G1" s="816"/>
      <c r="H1" s="816"/>
      <c r="I1" s="816"/>
    </row>
    <row r="2" spans="1:9" ht="22.8">
      <c r="A2" s="246"/>
      <c r="B2" s="247"/>
      <c r="C2" s="247"/>
      <c r="D2" s="247"/>
      <c r="E2" s="247"/>
      <c r="F2" s="247"/>
      <c r="G2" s="247"/>
      <c r="H2" s="247"/>
      <c r="I2" s="247"/>
    </row>
    <row r="3" spans="1:9" ht="27.6">
      <c r="A3" s="230" t="s">
        <v>323</v>
      </c>
      <c r="B3" s="230" t="s">
        <v>584</v>
      </c>
      <c r="C3" s="230" t="s">
        <v>342</v>
      </c>
      <c r="D3" s="230" t="s">
        <v>343</v>
      </c>
      <c r="E3" s="230" t="s">
        <v>344</v>
      </c>
      <c r="F3" s="230" t="s">
        <v>345</v>
      </c>
      <c r="G3" s="230" t="s">
        <v>94</v>
      </c>
      <c r="H3" s="230" t="s">
        <v>347</v>
      </c>
      <c r="I3" s="230" t="s">
        <v>733</v>
      </c>
    </row>
    <row r="4" spans="1:9" ht="39.6">
      <c r="A4" s="116" t="s">
        <v>31</v>
      </c>
      <c r="B4" s="92" t="s">
        <v>886</v>
      </c>
      <c r="C4" s="225">
        <v>2.5000000000000001E-2</v>
      </c>
      <c r="D4" s="201" t="s">
        <v>274</v>
      </c>
      <c r="E4" s="201" t="s">
        <v>1045</v>
      </c>
      <c r="F4" s="201" t="s">
        <v>1046</v>
      </c>
      <c r="G4" s="227" t="s">
        <v>672</v>
      </c>
      <c r="H4" s="92" t="s">
        <v>36</v>
      </c>
      <c r="I4" s="235" t="s">
        <v>916</v>
      </c>
    </row>
    <row r="5" spans="1:9" ht="39.6">
      <c r="A5" s="116" t="s">
        <v>31</v>
      </c>
      <c r="B5" s="92" t="s">
        <v>887</v>
      </c>
      <c r="C5" s="225">
        <v>2.1000000000000001E-2</v>
      </c>
      <c r="D5" s="201" t="s">
        <v>878</v>
      </c>
      <c r="E5" s="201" t="s">
        <v>1047</v>
      </c>
      <c r="F5" s="201" t="s">
        <v>351</v>
      </c>
      <c r="G5" s="228" t="s">
        <v>684</v>
      </c>
      <c r="H5" s="92" t="s">
        <v>888</v>
      </c>
      <c r="I5" s="238" t="s">
        <v>917</v>
      </c>
    </row>
    <row r="6" spans="1:9" ht="39.6">
      <c r="A6" s="116" t="s">
        <v>31</v>
      </c>
      <c r="B6" s="92" t="s">
        <v>889</v>
      </c>
      <c r="C6" s="225">
        <v>0.05</v>
      </c>
      <c r="D6" s="201" t="s">
        <v>878</v>
      </c>
      <c r="E6" s="201" t="s">
        <v>1047</v>
      </c>
      <c r="F6" s="201" t="s">
        <v>351</v>
      </c>
      <c r="G6" s="227" t="s">
        <v>672</v>
      </c>
      <c r="H6" s="92" t="s">
        <v>24</v>
      </c>
      <c r="I6" s="236" t="s">
        <v>918</v>
      </c>
    </row>
    <row r="7" spans="1:9" ht="26.4">
      <c r="A7" s="116" t="s">
        <v>31</v>
      </c>
      <c r="B7" s="92" t="s">
        <v>890</v>
      </c>
      <c r="C7" s="201" t="s">
        <v>757</v>
      </c>
      <c r="D7" s="201" t="s">
        <v>1048</v>
      </c>
      <c r="E7" s="201" t="s">
        <v>1049</v>
      </c>
      <c r="F7" s="201" t="s">
        <v>1050</v>
      </c>
      <c r="G7" s="228" t="s">
        <v>684</v>
      </c>
      <c r="H7" s="92" t="s">
        <v>888</v>
      </c>
      <c r="I7" s="239" t="s">
        <v>759</v>
      </c>
    </row>
    <row r="8" spans="1:9" ht="26.4">
      <c r="A8" s="116" t="s">
        <v>31</v>
      </c>
      <c r="B8" s="92" t="s">
        <v>891</v>
      </c>
      <c r="C8" s="201" t="s">
        <v>668</v>
      </c>
      <c r="D8" s="201" t="s">
        <v>674</v>
      </c>
      <c r="E8" s="248">
        <v>45811</v>
      </c>
      <c r="F8" s="201" t="s">
        <v>362</v>
      </c>
      <c r="G8" s="92" t="s">
        <v>826</v>
      </c>
      <c r="H8" s="92" t="s">
        <v>36</v>
      </c>
      <c r="I8" s="232" t="s">
        <v>768</v>
      </c>
    </row>
    <row r="9" spans="1:9" ht="39.6">
      <c r="A9" s="116" t="s">
        <v>31</v>
      </c>
      <c r="B9" s="92" t="s">
        <v>892</v>
      </c>
      <c r="C9" s="201" t="s">
        <v>668</v>
      </c>
      <c r="D9" s="201" t="s">
        <v>1051</v>
      </c>
      <c r="E9" s="201" t="s">
        <v>1052</v>
      </c>
      <c r="F9" s="201" t="s">
        <v>1053</v>
      </c>
      <c r="G9" s="92" t="s">
        <v>826</v>
      </c>
      <c r="H9" s="92" t="s">
        <v>36</v>
      </c>
      <c r="I9" s="232" t="s">
        <v>919</v>
      </c>
    </row>
    <row r="10" spans="1:9" ht="26.4">
      <c r="A10" s="116" t="s">
        <v>28</v>
      </c>
      <c r="B10" s="92" t="s">
        <v>893</v>
      </c>
      <c r="C10" s="201" t="s">
        <v>894</v>
      </c>
      <c r="D10" s="201">
        <v>0</v>
      </c>
      <c r="E10" s="201" t="s">
        <v>1054</v>
      </c>
      <c r="F10" s="201" t="s">
        <v>1055</v>
      </c>
      <c r="G10" s="227" t="s">
        <v>672</v>
      </c>
      <c r="H10" s="92" t="s">
        <v>895</v>
      </c>
      <c r="I10" s="237" t="s">
        <v>765</v>
      </c>
    </row>
    <row r="11" spans="1:9" ht="26.4">
      <c r="A11" s="116" t="s">
        <v>28</v>
      </c>
      <c r="B11" s="92" t="s">
        <v>896</v>
      </c>
      <c r="C11" s="201">
        <v>12</v>
      </c>
      <c r="D11" s="201" t="s">
        <v>674</v>
      </c>
      <c r="E11" s="248">
        <v>45811</v>
      </c>
      <c r="F11" s="201" t="s">
        <v>362</v>
      </c>
      <c r="G11" s="227" t="s">
        <v>672</v>
      </c>
      <c r="H11" s="92" t="s">
        <v>26</v>
      </c>
      <c r="I11" s="236" t="s">
        <v>768</v>
      </c>
    </row>
    <row r="12" spans="1:9" ht="39.6">
      <c r="A12" s="116" t="s">
        <v>28</v>
      </c>
      <c r="B12" s="92" t="s">
        <v>897</v>
      </c>
      <c r="C12" s="226">
        <v>0.94</v>
      </c>
      <c r="D12" s="226">
        <v>1</v>
      </c>
      <c r="E12" s="201" t="s">
        <v>1056</v>
      </c>
      <c r="F12" s="201" t="s">
        <v>1057</v>
      </c>
      <c r="G12" s="227" t="s">
        <v>672</v>
      </c>
      <c r="H12" s="92" t="s">
        <v>895</v>
      </c>
      <c r="I12" s="236" t="s">
        <v>771</v>
      </c>
    </row>
    <row r="13" spans="1:9" ht="26.4">
      <c r="A13" s="116" t="s">
        <v>23</v>
      </c>
      <c r="B13" s="92" t="s">
        <v>898</v>
      </c>
      <c r="C13" s="201">
        <v>4</v>
      </c>
      <c r="D13" s="201" t="s">
        <v>652</v>
      </c>
      <c r="E13" s="248">
        <v>45749</v>
      </c>
      <c r="F13" s="201" t="s">
        <v>1058</v>
      </c>
      <c r="G13" s="227" t="s">
        <v>672</v>
      </c>
      <c r="H13" s="92" t="s">
        <v>26</v>
      </c>
      <c r="I13" s="236" t="s">
        <v>775</v>
      </c>
    </row>
    <row r="14" spans="1:9" ht="52.8">
      <c r="A14" s="116" t="s">
        <v>23</v>
      </c>
      <c r="B14" s="92" t="s">
        <v>899</v>
      </c>
      <c r="C14" s="226">
        <v>0.87</v>
      </c>
      <c r="D14" s="201" t="s">
        <v>795</v>
      </c>
      <c r="E14" s="201" t="s">
        <v>1059</v>
      </c>
      <c r="F14" s="201" t="s">
        <v>1060</v>
      </c>
      <c r="G14" s="227" t="s">
        <v>672</v>
      </c>
      <c r="H14" s="92" t="s">
        <v>900</v>
      </c>
      <c r="I14" s="237" t="s">
        <v>815</v>
      </c>
    </row>
    <row r="15" spans="1:9" ht="39.6">
      <c r="A15" s="116" t="s">
        <v>23</v>
      </c>
      <c r="B15" s="92" t="s">
        <v>901</v>
      </c>
      <c r="C15" s="201" t="s">
        <v>818</v>
      </c>
      <c r="D15" s="201" t="s">
        <v>1061</v>
      </c>
      <c r="E15" s="201" t="s">
        <v>1062</v>
      </c>
      <c r="F15" s="201" t="s">
        <v>1063</v>
      </c>
      <c r="G15" s="227" t="s">
        <v>672</v>
      </c>
      <c r="H15" s="92" t="s">
        <v>900</v>
      </c>
      <c r="I15" s="236" t="s">
        <v>920</v>
      </c>
    </row>
    <row r="16" spans="1:9" ht="39.6">
      <c r="A16" s="116" t="s">
        <v>9</v>
      </c>
      <c r="B16" s="92" t="s">
        <v>902</v>
      </c>
      <c r="C16" s="201">
        <v>0.95</v>
      </c>
      <c r="D16" s="201" t="s">
        <v>742</v>
      </c>
      <c r="E16" s="201" t="s">
        <v>1064</v>
      </c>
      <c r="F16" s="201" t="s">
        <v>1065</v>
      </c>
      <c r="G16" s="228" t="s">
        <v>684</v>
      </c>
      <c r="H16" s="92" t="s">
        <v>903</v>
      </c>
      <c r="I16" s="239" t="s">
        <v>744</v>
      </c>
    </row>
    <row r="17" spans="1:9" ht="39.6">
      <c r="A17" s="116" t="s">
        <v>9</v>
      </c>
      <c r="B17" s="92" t="s">
        <v>904</v>
      </c>
      <c r="C17" s="201">
        <v>3</v>
      </c>
      <c r="D17" s="201" t="s">
        <v>652</v>
      </c>
      <c r="E17" s="248">
        <v>45749</v>
      </c>
      <c r="F17" s="201" t="s">
        <v>1058</v>
      </c>
      <c r="G17" s="228" t="s">
        <v>684</v>
      </c>
      <c r="H17" s="92" t="s">
        <v>36</v>
      </c>
      <c r="I17" s="239" t="s">
        <v>775</v>
      </c>
    </row>
    <row r="18" spans="1:9" ht="39.6">
      <c r="A18" s="116" t="s">
        <v>9</v>
      </c>
      <c r="B18" s="92" t="s">
        <v>905</v>
      </c>
      <c r="C18" s="226">
        <v>0.85</v>
      </c>
      <c r="D18" s="201" t="s">
        <v>1066</v>
      </c>
      <c r="E18" s="201" t="s">
        <v>1067</v>
      </c>
      <c r="F18" s="201" t="s">
        <v>1057</v>
      </c>
      <c r="G18" s="227" t="s">
        <v>672</v>
      </c>
      <c r="H18" s="92" t="s">
        <v>36</v>
      </c>
      <c r="I18" s="236" t="s">
        <v>808</v>
      </c>
    </row>
    <row r="19" spans="1:9" ht="39.6">
      <c r="A19" s="116" t="s">
        <v>9</v>
      </c>
      <c r="B19" s="92" t="s">
        <v>906</v>
      </c>
      <c r="C19" s="201" t="s">
        <v>668</v>
      </c>
      <c r="D19" s="201" t="s">
        <v>1051</v>
      </c>
      <c r="E19" s="201" t="s">
        <v>1052</v>
      </c>
      <c r="F19" s="201" t="s">
        <v>1053</v>
      </c>
      <c r="G19" s="92" t="s">
        <v>826</v>
      </c>
      <c r="H19" s="92" t="s">
        <v>903</v>
      </c>
      <c r="I19" s="232" t="s">
        <v>921</v>
      </c>
    </row>
    <row r="20" spans="1:9" ht="39.6">
      <c r="A20" s="116" t="s">
        <v>9</v>
      </c>
      <c r="B20" s="92" t="s">
        <v>907</v>
      </c>
      <c r="C20" s="201" t="s">
        <v>668</v>
      </c>
      <c r="D20" s="201" t="s">
        <v>1068</v>
      </c>
      <c r="E20" s="201" t="s">
        <v>1069</v>
      </c>
      <c r="F20" s="201" t="s">
        <v>1070</v>
      </c>
      <c r="G20" s="92" t="s">
        <v>826</v>
      </c>
      <c r="H20" s="92" t="s">
        <v>903</v>
      </c>
      <c r="I20" s="232" t="s">
        <v>872</v>
      </c>
    </row>
    <row r="21" spans="1:9" ht="39.6">
      <c r="A21" s="116" t="s">
        <v>33</v>
      </c>
      <c r="B21" s="92" t="s">
        <v>908</v>
      </c>
      <c r="C21" s="226">
        <v>0.82</v>
      </c>
      <c r="D21" s="201" t="s">
        <v>381</v>
      </c>
      <c r="E21" s="201" t="s">
        <v>1071</v>
      </c>
      <c r="F21" s="201" t="s">
        <v>1072</v>
      </c>
      <c r="G21" s="227" t="s">
        <v>672</v>
      </c>
      <c r="H21" s="92" t="s">
        <v>909</v>
      </c>
      <c r="I21" s="236" t="s">
        <v>792</v>
      </c>
    </row>
    <row r="22" spans="1:9" ht="39.6">
      <c r="A22" s="116" t="s">
        <v>33</v>
      </c>
      <c r="B22" s="92" t="s">
        <v>910</v>
      </c>
      <c r="C22" s="226">
        <v>0.15</v>
      </c>
      <c r="D22" s="201" t="s">
        <v>273</v>
      </c>
      <c r="E22" s="201" t="s">
        <v>1073</v>
      </c>
      <c r="F22" s="201" t="s">
        <v>1074</v>
      </c>
      <c r="G22" s="227" t="s">
        <v>672</v>
      </c>
      <c r="H22" s="92" t="s">
        <v>909</v>
      </c>
      <c r="I22" s="236" t="s">
        <v>922</v>
      </c>
    </row>
    <row r="23" spans="1:9" ht="39.6">
      <c r="A23" s="116" t="s">
        <v>33</v>
      </c>
      <c r="B23" s="92" t="s">
        <v>911</v>
      </c>
      <c r="C23" s="201">
        <v>4</v>
      </c>
      <c r="D23" s="201" t="s">
        <v>652</v>
      </c>
      <c r="E23" s="248">
        <v>45749</v>
      </c>
      <c r="F23" s="201" t="s">
        <v>1058</v>
      </c>
      <c r="G23" s="227" t="s">
        <v>672</v>
      </c>
      <c r="H23" s="92" t="s">
        <v>34</v>
      </c>
      <c r="I23" s="236" t="s">
        <v>775</v>
      </c>
    </row>
    <row r="24" spans="1:9" ht="39.6">
      <c r="A24" s="116" t="s">
        <v>612</v>
      </c>
      <c r="B24" s="92" t="s">
        <v>912</v>
      </c>
      <c r="C24" s="201" t="s">
        <v>778</v>
      </c>
      <c r="D24" s="201" t="s">
        <v>1075</v>
      </c>
      <c r="E24" s="201" t="s">
        <v>1076</v>
      </c>
      <c r="F24" s="201" t="s">
        <v>1077</v>
      </c>
      <c r="G24" s="227" t="s">
        <v>672</v>
      </c>
      <c r="H24" s="92" t="s">
        <v>903</v>
      </c>
      <c r="I24" s="237" t="s">
        <v>923</v>
      </c>
    </row>
    <row r="25" spans="1:9" ht="39.6">
      <c r="A25" s="116" t="s">
        <v>783</v>
      </c>
      <c r="B25" s="92" t="s">
        <v>913</v>
      </c>
      <c r="C25" s="201" t="s">
        <v>784</v>
      </c>
      <c r="D25" s="201">
        <v>0</v>
      </c>
      <c r="E25" s="201">
        <v>1</v>
      </c>
      <c r="F25" s="201" t="s">
        <v>1078</v>
      </c>
      <c r="G25" s="228" t="s">
        <v>684</v>
      </c>
      <c r="H25" s="92" t="s">
        <v>903</v>
      </c>
      <c r="I25" s="239" t="s">
        <v>924</v>
      </c>
    </row>
    <row r="26" spans="1:9" ht="39.6">
      <c r="A26" s="116" t="s">
        <v>855</v>
      </c>
      <c r="B26" s="92" t="s">
        <v>914</v>
      </c>
      <c r="C26" s="201" t="s">
        <v>668</v>
      </c>
      <c r="D26" s="201" t="s">
        <v>795</v>
      </c>
      <c r="E26" s="201" t="s">
        <v>1059</v>
      </c>
      <c r="F26" s="201" t="s">
        <v>1060</v>
      </c>
      <c r="G26" s="92" t="s">
        <v>826</v>
      </c>
      <c r="H26" s="92" t="s">
        <v>36</v>
      </c>
      <c r="I26" s="233" t="s">
        <v>857</v>
      </c>
    </row>
    <row r="27" spans="1:9" ht="52.8">
      <c r="A27" s="116" t="s">
        <v>855</v>
      </c>
      <c r="B27" s="92" t="s">
        <v>915</v>
      </c>
      <c r="C27" s="201" t="s">
        <v>668</v>
      </c>
      <c r="D27" s="201" t="s">
        <v>652</v>
      </c>
      <c r="E27" s="248">
        <v>45749</v>
      </c>
      <c r="F27" s="201" t="s">
        <v>1058</v>
      </c>
      <c r="G27" s="92" t="s">
        <v>826</v>
      </c>
      <c r="H27" s="92" t="s">
        <v>36</v>
      </c>
      <c r="I27" s="234" t="s">
        <v>775</v>
      </c>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B1480-0FE8-4039-A861-CB17EE6D80ED}">
  <sheetPr codeName="Sheet18"/>
  <dimension ref="A1:Z86"/>
  <sheetViews>
    <sheetView topLeftCell="C51" zoomScale="110" zoomScaleNormal="110" workbookViewId="0">
      <selection activeCell="A47" sqref="A47:D53"/>
    </sheetView>
  </sheetViews>
  <sheetFormatPr defaultRowHeight="13.2"/>
  <cols>
    <col min="1" max="1" width="41.6640625" bestFit="1" customWidth="1"/>
    <col min="2" max="2" width="29.33203125" bestFit="1" customWidth="1"/>
    <col min="3" max="3" width="22.109375" bestFit="1" customWidth="1"/>
    <col min="4" max="4" width="20.109375" bestFit="1" customWidth="1"/>
    <col min="5" max="5" width="24.109375" bestFit="1" customWidth="1"/>
    <col min="6" max="6" width="24.88671875" bestFit="1" customWidth="1"/>
    <col min="7" max="7" width="16.33203125" bestFit="1" customWidth="1"/>
    <col min="8" max="8" width="14.109375" customWidth="1"/>
    <col min="9" max="9" width="32.109375" customWidth="1"/>
    <col min="10" max="10" width="51.6640625" bestFit="1" customWidth="1"/>
    <col min="11" max="11" width="43.109375" hidden="1" customWidth="1"/>
    <col min="12" max="12" width="24" hidden="1" customWidth="1"/>
    <col min="13" max="13" width="33.33203125" hidden="1" customWidth="1"/>
    <col min="14" max="14" width="22.109375" hidden="1" customWidth="1"/>
    <col min="15" max="15" width="20.33203125" hidden="1" customWidth="1"/>
    <col min="16" max="16" width="0" hidden="1" customWidth="1"/>
    <col min="17" max="17" width="17.33203125" hidden="1" customWidth="1"/>
    <col min="19" max="19" width="19.88671875" customWidth="1"/>
    <col min="20" max="20" width="29.109375" customWidth="1"/>
    <col min="21" max="21" width="51.6640625" customWidth="1"/>
    <col min="22" max="22" width="29.88671875" customWidth="1"/>
    <col min="23" max="23" width="31.6640625" customWidth="1"/>
    <col min="24" max="24" width="28.88671875" customWidth="1"/>
  </cols>
  <sheetData>
    <row r="1" spans="1:26" ht="28.2">
      <c r="A1" s="854" t="s">
        <v>422</v>
      </c>
      <c r="B1" s="854"/>
      <c r="C1" s="854"/>
      <c r="D1" s="854"/>
      <c r="E1" s="854"/>
      <c r="F1" s="854"/>
      <c r="G1" s="854"/>
      <c r="H1" s="854"/>
      <c r="I1" s="854"/>
      <c r="J1" s="6"/>
      <c r="K1" s="147" t="s">
        <v>323</v>
      </c>
      <c r="L1" s="147" t="s">
        <v>340</v>
      </c>
      <c r="M1" s="147" t="s">
        <v>424</v>
      </c>
      <c r="N1" s="147" t="s">
        <v>342</v>
      </c>
      <c r="O1" s="147" t="s">
        <v>425</v>
      </c>
      <c r="P1" s="147" t="s">
        <v>94</v>
      </c>
      <c r="Q1" s="147" t="s">
        <v>347</v>
      </c>
      <c r="S1" s="871" t="s">
        <v>500</v>
      </c>
      <c r="T1" s="871"/>
      <c r="U1" s="871"/>
      <c r="V1" s="871"/>
      <c r="W1" s="871"/>
      <c r="X1" s="871"/>
    </row>
    <row r="2" spans="1:26" ht="14.25" customHeight="1">
      <c r="A2" s="202"/>
      <c r="B2" s="203"/>
      <c r="C2" s="203"/>
      <c r="D2" s="203"/>
      <c r="E2" s="203"/>
      <c r="F2" s="203"/>
      <c r="G2" s="203"/>
      <c r="H2" s="203"/>
      <c r="I2" s="203"/>
      <c r="J2" s="6"/>
      <c r="K2" s="149" t="s">
        <v>9</v>
      </c>
      <c r="L2" s="861" t="s">
        <v>531</v>
      </c>
      <c r="M2" s="861" t="s">
        <v>571</v>
      </c>
      <c r="N2" s="862" t="s">
        <v>533</v>
      </c>
      <c r="O2" s="151" t="s">
        <v>534</v>
      </c>
      <c r="P2" s="863" t="s">
        <v>537</v>
      </c>
      <c r="Q2" s="861" t="s">
        <v>572</v>
      </c>
      <c r="S2" s="162" t="s">
        <v>323</v>
      </c>
      <c r="T2" s="162" t="s">
        <v>324</v>
      </c>
      <c r="U2" s="162" t="s">
        <v>501</v>
      </c>
      <c r="V2" s="162" t="s">
        <v>502</v>
      </c>
      <c r="W2" s="162" t="s">
        <v>503</v>
      </c>
      <c r="X2" s="162" t="s">
        <v>504</v>
      </c>
      <c r="Y2" s="180"/>
      <c r="Z2" s="180"/>
    </row>
    <row r="3" spans="1:26" ht="27.6">
      <c r="A3" s="855" t="s">
        <v>423</v>
      </c>
      <c r="B3" s="855"/>
      <c r="C3" s="855"/>
      <c r="D3" s="855"/>
      <c r="E3" s="855"/>
      <c r="F3" s="855"/>
      <c r="G3" s="855"/>
      <c r="H3" s="855"/>
      <c r="I3" s="855"/>
      <c r="J3" s="6"/>
      <c r="K3" s="150" t="s">
        <v>570</v>
      </c>
      <c r="L3" s="861"/>
      <c r="M3" s="861"/>
      <c r="N3" s="862"/>
      <c r="O3" s="151" t="s">
        <v>535</v>
      </c>
      <c r="P3" s="863"/>
      <c r="Q3" s="861"/>
      <c r="S3" s="848" t="s">
        <v>31</v>
      </c>
      <c r="T3" s="850" t="s">
        <v>327</v>
      </c>
      <c r="U3" s="173" t="s">
        <v>328</v>
      </c>
      <c r="V3" s="852" t="s">
        <v>329</v>
      </c>
      <c r="W3" s="8" t="s">
        <v>506</v>
      </c>
      <c r="X3" s="167" t="s">
        <v>508</v>
      </c>
      <c r="Y3" s="182"/>
      <c r="Z3" s="182"/>
    </row>
    <row r="4" spans="1:26" ht="21" customHeight="1">
      <c r="A4" s="217" t="s">
        <v>323</v>
      </c>
      <c r="B4" s="217" t="s">
        <v>584</v>
      </c>
      <c r="C4" s="217" t="s">
        <v>424</v>
      </c>
      <c r="D4" s="217" t="s">
        <v>342</v>
      </c>
      <c r="E4" s="217" t="s">
        <v>425</v>
      </c>
      <c r="F4" s="217" t="s">
        <v>94</v>
      </c>
      <c r="G4" s="218" t="s">
        <v>586</v>
      </c>
      <c r="H4" s="218" t="s">
        <v>587</v>
      </c>
      <c r="I4" s="217" t="s">
        <v>347</v>
      </c>
      <c r="J4" s="6"/>
      <c r="K4" s="150"/>
      <c r="L4" s="861"/>
      <c r="M4" s="861"/>
      <c r="N4" s="862"/>
      <c r="O4" s="151" t="s">
        <v>536</v>
      </c>
      <c r="P4" s="863"/>
      <c r="Q4" s="861"/>
      <c r="S4" s="849"/>
      <c r="T4" s="851"/>
      <c r="U4" s="8" t="s">
        <v>505</v>
      </c>
      <c r="V4" s="853"/>
      <c r="W4" s="8" t="s">
        <v>507</v>
      </c>
      <c r="X4" s="8" t="s">
        <v>509</v>
      </c>
      <c r="Y4" s="6"/>
      <c r="Z4" s="6"/>
    </row>
    <row r="5" spans="1:26" ht="13.8">
      <c r="A5" s="149" t="s">
        <v>31</v>
      </c>
      <c r="B5" s="820" t="s">
        <v>426</v>
      </c>
      <c r="C5" s="820" t="s">
        <v>427</v>
      </c>
      <c r="D5" s="821">
        <v>2.5000000000000001E-2</v>
      </c>
      <c r="E5" s="8" t="s">
        <v>428</v>
      </c>
      <c r="F5" s="822" t="s">
        <v>431</v>
      </c>
      <c r="G5" s="875" t="s">
        <v>327</v>
      </c>
      <c r="H5" s="875" t="s">
        <v>508</v>
      </c>
      <c r="I5" s="820" t="s">
        <v>36</v>
      </c>
      <c r="J5" s="6"/>
      <c r="K5" s="152" t="s">
        <v>9</v>
      </c>
      <c r="L5" s="836" t="s">
        <v>531</v>
      </c>
      <c r="M5" s="836" t="s">
        <v>532</v>
      </c>
      <c r="N5" s="837" t="s">
        <v>533</v>
      </c>
      <c r="O5" s="153" t="s">
        <v>534</v>
      </c>
      <c r="P5" s="839" t="s">
        <v>537</v>
      </c>
      <c r="Q5" s="836" t="s">
        <v>538</v>
      </c>
      <c r="S5" s="829" t="s">
        <v>23</v>
      </c>
      <c r="T5" s="831" t="s">
        <v>330</v>
      </c>
      <c r="U5" s="174" t="s">
        <v>331</v>
      </c>
      <c r="V5" s="833" t="s">
        <v>332</v>
      </c>
      <c r="W5" s="164" t="s">
        <v>511</v>
      </c>
      <c r="X5" s="175" t="s">
        <v>513</v>
      </c>
      <c r="Y5" s="183"/>
      <c r="Z5" s="183"/>
    </row>
    <row r="6" spans="1:26" ht="27.6">
      <c r="A6" s="8" t="s">
        <v>349</v>
      </c>
      <c r="B6" s="820"/>
      <c r="C6" s="820"/>
      <c r="D6" s="821"/>
      <c r="E6" s="8" t="s">
        <v>429</v>
      </c>
      <c r="F6" s="822"/>
      <c r="G6" s="876"/>
      <c r="H6" s="876"/>
      <c r="I6" s="820"/>
      <c r="J6" s="6"/>
      <c r="K6" s="154" t="s">
        <v>530</v>
      </c>
      <c r="L6" s="835"/>
      <c r="M6" s="835"/>
      <c r="N6" s="838"/>
      <c r="O6" s="156" t="s">
        <v>535</v>
      </c>
      <c r="P6" s="840"/>
      <c r="Q6" s="835"/>
      <c r="S6" s="830"/>
      <c r="T6" s="832"/>
      <c r="U6" s="164" t="s">
        <v>510</v>
      </c>
      <c r="V6" s="834"/>
      <c r="W6" s="164" t="s">
        <v>512</v>
      </c>
      <c r="X6" s="164" t="s">
        <v>514</v>
      </c>
      <c r="Y6" s="181"/>
      <c r="Z6" s="181"/>
    </row>
    <row r="7" spans="1:26" ht="13.8">
      <c r="A7" s="8"/>
      <c r="B7" s="820"/>
      <c r="C7" s="820"/>
      <c r="D7" s="821"/>
      <c r="E7" s="8" t="s">
        <v>430</v>
      </c>
      <c r="F7" s="822"/>
      <c r="G7" s="877"/>
      <c r="H7" s="877"/>
      <c r="I7" s="820"/>
      <c r="J7" s="6"/>
      <c r="K7" s="154"/>
      <c r="L7" s="835"/>
      <c r="M7" s="835"/>
      <c r="N7" s="838"/>
      <c r="O7" s="156" t="s">
        <v>536</v>
      </c>
      <c r="P7" s="840"/>
      <c r="Q7" s="835"/>
      <c r="S7" s="848" t="s">
        <v>28</v>
      </c>
      <c r="T7" s="858" t="s">
        <v>330</v>
      </c>
      <c r="U7" s="173" t="s">
        <v>333</v>
      </c>
      <c r="V7" s="852" t="s">
        <v>334</v>
      </c>
      <c r="W7" s="8" t="s">
        <v>516</v>
      </c>
      <c r="X7" s="168" t="s">
        <v>518</v>
      </c>
      <c r="Y7" s="184"/>
      <c r="Z7" s="184"/>
    </row>
    <row r="8" spans="1:26" ht="19.5" customHeight="1">
      <c r="A8" s="149" t="s">
        <v>31</v>
      </c>
      <c r="B8" s="823" t="s">
        <v>432</v>
      </c>
      <c r="C8" s="823" t="s">
        <v>433</v>
      </c>
      <c r="D8" s="824" t="s">
        <v>356</v>
      </c>
      <c r="E8" s="164" t="s">
        <v>434</v>
      </c>
      <c r="F8" s="825" t="s">
        <v>437</v>
      </c>
      <c r="G8" s="878" t="s">
        <v>327</v>
      </c>
      <c r="H8" s="878" t="s">
        <v>508</v>
      </c>
      <c r="I8" s="823" t="s">
        <v>24</v>
      </c>
      <c r="J8" s="6"/>
      <c r="K8" s="149" t="s">
        <v>9</v>
      </c>
      <c r="L8" s="841" t="s">
        <v>540</v>
      </c>
      <c r="M8" s="841" t="s">
        <v>541</v>
      </c>
      <c r="N8" s="842" t="s">
        <v>533</v>
      </c>
      <c r="O8" s="159" t="s">
        <v>542</v>
      </c>
      <c r="P8" s="843" t="s">
        <v>537</v>
      </c>
      <c r="Q8" s="841" t="s">
        <v>36</v>
      </c>
      <c r="S8" s="849"/>
      <c r="T8" s="859"/>
      <c r="U8" s="8" t="s">
        <v>515</v>
      </c>
      <c r="V8" s="853"/>
      <c r="W8" s="8" t="s">
        <v>517</v>
      </c>
      <c r="X8" s="8" t="s">
        <v>519</v>
      </c>
      <c r="Y8" s="6"/>
      <c r="Z8" s="6"/>
    </row>
    <row r="9" spans="1:26" ht="13.8">
      <c r="A9" s="164" t="s">
        <v>355</v>
      </c>
      <c r="B9" s="823"/>
      <c r="C9" s="823"/>
      <c r="D9" s="824"/>
      <c r="E9" s="164" t="s">
        <v>435</v>
      </c>
      <c r="F9" s="825"/>
      <c r="G9" s="879"/>
      <c r="H9" s="879"/>
      <c r="I9" s="823"/>
      <c r="J9" s="6"/>
      <c r="K9" s="158" t="s">
        <v>539</v>
      </c>
      <c r="L9" s="841"/>
      <c r="M9" s="841"/>
      <c r="N9" s="842"/>
      <c r="O9" s="159" t="s">
        <v>543</v>
      </c>
      <c r="P9" s="843"/>
      <c r="Q9" s="841"/>
      <c r="S9" s="829" t="s">
        <v>9</v>
      </c>
      <c r="T9" s="860" t="s">
        <v>335</v>
      </c>
      <c r="U9" s="174" t="s">
        <v>336</v>
      </c>
      <c r="V9" s="833" t="s">
        <v>337</v>
      </c>
      <c r="W9" s="164" t="s">
        <v>521</v>
      </c>
      <c r="X9" s="175" t="s">
        <v>523</v>
      </c>
      <c r="Y9" s="183"/>
      <c r="Z9" s="183"/>
    </row>
    <row r="10" spans="1:26" ht="20.55" customHeight="1">
      <c r="A10" s="164"/>
      <c r="B10" s="823"/>
      <c r="C10" s="823"/>
      <c r="D10" s="824"/>
      <c r="E10" s="164" t="s">
        <v>436</v>
      </c>
      <c r="F10" s="825"/>
      <c r="G10" s="880"/>
      <c r="H10" s="880"/>
      <c r="I10" s="823"/>
      <c r="J10" s="6"/>
      <c r="K10" s="158"/>
      <c r="L10" s="841"/>
      <c r="M10" s="841"/>
      <c r="N10" s="842"/>
      <c r="O10" s="159" t="s">
        <v>544</v>
      </c>
      <c r="P10" s="843"/>
      <c r="Q10" s="841"/>
      <c r="S10" s="830"/>
      <c r="T10" s="839"/>
      <c r="U10" s="164" t="s">
        <v>520</v>
      </c>
      <c r="V10" s="834"/>
      <c r="W10" s="164" t="s">
        <v>522</v>
      </c>
      <c r="X10" s="164" t="s">
        <v>524</v>
      </c>
      <c r="Y10" s="181"/>
      <c r="Z10" s="181"/>
    </row>
    <row r="11" spans="1:26" ht="13.8">
      <c r="A11" s="149" t="s">
        <v>23</v>
      </c>
      <c r="B11" s="820" t="s">
        <v>438</v>
      </c>
      <c r="C11" s="820" t="s">
        <v>439</v>
      </c>
      <c r="D11" s="826">
        <v>4</v>
      </c>
      <c r="E11" s="8" t="s">
        <v>440</v>
      </c>
      <c r="F11" s="822" t="s">
        <v>431</v>
      </c>
      <c r="G11" s="875" t="s">
        <v>330</v>
      </c>
      <c r="H11" s="881" t="s">
        <v>513</v>
      </c>
      <c r="I11" s="820" t="s">
        <v>26</v>
      </c>
      <c r="J11" s="6"/>
      <c r="K11" s="149" t="s">
        <v>9</v>
      </c>
      <c r="L11" s="835" t="s">
        <v>546</v>
      </c>
      <c r="M11" s="835" t="s">
        <v>547</v>
      </c>
      <c r="N11" s="838" t="s">
        <v>533</v>
      </c>
      <c r="O11" s="156" t="s">
        <v>461</v>
      </c>
      <c r="P11" s="840" t="s">
        <v>537</v>
      </c>
      <c r="Q11" s="835" t="s">
        <v>538</v>
      </c>
      <c r="S11" s="848" t="s">
        <v>33</v>
      </c>
      <c r="T11" s="850" t="s">
        <v>335</v>
      </c>
      <c r="U11" s="173" t="s">
        <v>338</v>
      </c>
      <c r="V11" s="852" t="s">
        <v>337</v>
      </c>
      <c r="W11" s="8" t="s">
        <v>526</v>
      </c>
      <c r="X11" s="168" t="s">
        <v>528</v>
      </c>
      <c r="Y11" s="184"/>
      <c r="Z11" s="184"/>
    </row>
    <row r="12" spans="1:26" ht="21" customHeight="1">
      <c r="A12" s="8" t="s">
        <v>361</v>
      </c>
      <c r="B12" s="820"/>
      <c r="C12" s="820"/>
      <c r="D12" s="826"/>
      <c r="E12" s="8" t="s">
        <v>441</v>
      </c>
      <c r="F12" s="822"/>
      <c r="G12" s="876"/>
      <c r="H12" s="882"/>
      <c r="I12" s="820"/>
      <c r="J12" s="6"/>
      <c r="K12" s="154" t="s">
        <v>545</v>
      </c>
      <c r="L12" s="835"/>
      <c r="M12" s="835"/>
      <c r="N12" s="838"/>
      <c r="O12" s="156" t="s">
        <v>548</v>
      </c>
      <c r="P12" s="840"/>
      <c r="Q12" s="835"/>
      <c r="S12" s="849"/>
      <c r="T12" s="851"/>
      <c r="U12" s="8" t="s">
        <v>525</v>
      </c>
      <c r="V12" s="853"/>
      <c r="W12" s="8" t="s">
        <v>527</v>
      </c>
      <c r="X12" s="8" t="s">
        <v>529</v>
      </c>
      <c r="Y12" s="6"/>
      <c r="Z12" s="6"/>
    </row>
    <row r="13" spans="1:26" ht="13.8">
      <c r="A13" s="8"/>
      <c r="B13" s="820"/>
      <c r="C13" s="820"/>
      <c r="D13" s="826"/>
      <c r="E13" s="8" t="s">
        <v>442</v>
      </c>
      <c r="F13" s="822"/>
      <c r="G13" s="877"/>
      <c r="H13" s="883"/>
      <c r="I13" s="820"/>
      <c r="J13" s="6"/>
      <c r="K13" s="154"/>
      <c r="L13" s="835"/>
      <c r="M13" s="835"/>
      <c r="N13" s="838"/>
      <c r="O13" s="156" t="s">
        <v>549</v>
      </c>
      <c r="P13" s="840"/>
      <c r="Q13" s="835"/>
    </row>
    <row r="14" spans="1:26" ht="13.8">
      <c r="A14" s="149" t="s">
        <v>23</v>
      </c>
      <c r="B14" s="823" t="s">
        <v>426</v>
      </c>
      <c r="C14" s="823" t="s">
        <v>443</v>
      </c>
      <c r="D14" s="827">
        <v>0.02</v>
      </c>
      <c r="E14" s="164" t="s">
        <v>444</v>
      </c>
      <c r="F14" s="825" t="s">
        <v>437</v>
      </c>
      <c r="G14" s="875" t="s">
        <v>330</v>
      </c>
      <c r="H14" s="881" t="s">
        <v>513</v>
      </c>
      <c r="I14" s="823" t="s">
        <v>26</v>
      </c>
      <c r="J14" s="6"/>
      <c r="K14" s="149" t="s">
        <v>9</v>
      </c>
      <c r="L14" s="841" t="s">
        <v>551</v>
      </c>
      <c r="M14" s="841" t="s">
        <v>552</v>
      </c>
      <c r="N14" s="842" t="s">
        <v>533</v>
      </c>
      <c r="O14" s="159" t="s">
        <v>461</v>
      </c>
      <c r="P14" s="843" t="s">
        <v>537</v>
      </c>
      <c r="Q14" s="841" t="s">
        <v>555</v>
      </c>
    </row>
    <row r="15" spans="1:26" ht="13.8">
      <c r="A15" s="164" t="s">
        <v>365</v>
      </c>
      <c r="B15" s="823"/>
      <c r="C15" s="823"/>
      <c r="D15" s="827"/>
      <c r="E15" s="164" t="s">
        <v>445</v>
      </c>
      <c r="F15" s="825"/>
      <c r="G15" s="876"/>
      <c r="H15" s="882"/>
      <c r="I15" s="823"/>
      <c r="J15" s="6"/>
      <c r="K15" s="158" t="s">
        <v>550</v>
      </c>
      <c r="L15" s="841"/>
      <c r="M15" s="841"/>
      <c r="N15" s="842"/>
      <c r="O15" s="159" t="s">
        <v>553</v>
      </c>
      <c r="P15" s="843"/>
      <c r="Q15" s="841"/>
    </row>
    <row r="16" spans="1:26" ht="13.8">
      <c r="A16" s="164"/>
      <c r="B16" s="823"/>
      <c r="C16" s="823"/>
      <c r="D16" s="827"/>
      <c r="E16" s="164" t="s">
        <v>446</v>
      </c>
      <c r="F16" s="825"/>
      <c r="G16" s="877"/>
      <c r="H16" s="883"/>
      <c r="I16" s="823"/>
      <c r="J16" s="6"/>
      <c r="K16" s="158"/>
      <c r="L16" s="841"/>
      <c r="M16" s="841"/>
      <c r="N16" s="842"/>
      <c r="O16" s="159" t="s">
        <v>554</v>
      </c>
      <c r="P16" s="843"/>
      <c r="Q16" s="841"/>
    </row>
    <row r="17" spans="1:17" ht="13.8">
      <c r="A17" s="149" t="s">
        <v>28</v>
      </c>
      <c r="B17" s="820" t="s">
        <v>438</v>
      </c>
      <c r="C17" s="820" t="s">
        <v>439</v>
      </c>
      <c r="D17" s="826">
        <v>12</v>
      </c>
      <c r="E17" s="8" t="s">
        <v>440</v>
      </c>
      <c r="F17" s="828" t="s">
        <v>437</v>
      </c>
      <c r="G17" s="875" t="s">
        <v>330</v>
      </c>
      <c r="H17" s="884" t="s">
        <v>518</v>
      </c>
      <c r="I17" s="820" t="s">
        <v>26</v>
      </c>
      <c r="J17" s="6"/>
      <c r="K17" s="149" t="s">
        <v>9</v>
      </c>
      <c r="L17" s="835" t="s">
        <v>557</v>
      </c>
      <c r="M17" s="835" t="s">
        <v>558</v>
      </c>
      <c r="N17" s="838" t="s">
        <v>533</v>
      </c>
      <c r="O17" s="156" t="s">
        <v>559</v>
      </c>
      <c r="P17" s="840" t="s">
        <v>537</v>
      </c>
      <c r="Q17" s="835" t="s">
        <v>562</v>
      </c>
    </row>
    <row r="18" spans="1:17" ht="13.8">
      <c r="A18" s="8" t="s">
        <v>447</v>
      </c>
      <c r="B18" s="820"/>
      <c r="C18" s="820"/>
      <c r="D18" s="826"/>
      <c r="E18" s="8" t="s">
        <v>448</v>
      </c>
      <c r="F18" s="828"/>
      <c r="G18" s="876"/>
      <c r="H18" s="885"/>
      <c r="I18" s="820"/>
      <c r="J18" s="6"/>
      <c r="K18" s="154" t="s">
        <v>556</v>
      </c>
      <c r="L18" s="835"/>
      <c r="M18" s="835"/>
      <c r="N18" s="838"/>
      <c r="O18" s="156" t="s">
        <v>560</v>
      </c>
      <c r="P18" s="840"/>
      <c r="Q18" s="835"/>
    </row>
    <row r="19" spans="1:17" ht="13.8">
      <c r="A19" s="8"/>
      <c r="B19" s="820"/>
      <c r="C19" s="820"/>
      <c r="D19" s="826"/>
      <c r="E19" s="8" t="s">
        <v>449</v>
      </c>
      <c r="F19" s="828"/>
      <c r="G19" s="877"/>
      <c r="H19" s="886"/>
      <c r="I19" s="820"/>
      <c r="J19" s="6"/>
      <c r="K19" s="154"/>
      <c r="L19" s="835"/>
      <c r="M19" s="835"/>
      <c r="N19" s="838"/>
      <c r="O19" s="156" t="s">
        <v>561</v>
      </c>
      <c r="P19" s="840"/>
      <c r="Q19" s="835"/>
    </row>
    <row r="20" spans="1:17" ht="13.8">
      <c r="A20" s="149" t="s">
        <v>28</v>
      </c>
      <c r="B20" s="823" t="s">
        <v>450</v>
      </c>
      <c r="C20" s="823" t="s">
        <v>451</v>
      </c>
      <c r="D20" s="824" t="s">
        <v>374</v>
      </c>
      <c r="E20" s="164" t="s">
        <v>452</v>
      </c>
      <c r="F20" s="825" t="s">
        <v>437</v>
      </c>
      <c r="G20" s="875" t="s">
        <v>330</v>
      </c>
      <c r="H20" s="884" t="s">
        <v>518</v>
      </c>
      <c r="I20" s="823" t="s">
        <v>26</v>
      </c>
      <c r="J20" s="6"/>
      <c r="K20" s="149" t="s">
        <v>9</v>
      </c>
      <c r="L20" s="861" t="s">
        <v>564</v>
      </c>
      <c r="M20" s="861" t="s">
        <v>565</v>
      </c>
      <c r="N20" s="862" t="s">
        <v>533</v>
      </c>
      <c r="O20" s="151" t="s">
        <v>566</v>
      </c>
      <c r="P20" s="863" t="s">
        <v>537</v>
      </c>
      <c r="Q20" s="861" t="s">
        <v>569</v>
      </c>
    </row>
    <row r="21" spans="1:17" ht="13.8">
      <c r="A21" s="164" t="s">
        <v>373</v>
      </c>
      <c r="B21" s="823"/>
      <c r="C21" s="823"/>
      <c r="D21" s="824"/>
      <c r="E21" s="164" t="s">
        <v>453</v>
      </c>
      <c r="F21" s="825"/>
      <c r="G21" s="876"/>
      <c r="H21" s="885"/>
      <c r="I21" s="823"/>
      <c r="J21" s="6"/>
      <c r="K21" s="150" t="s">
        <v>563</v>
      </c>
      <c r="L21" s="861"/>
      <c r="M21" s="861"/>
      <c r="N21" s="862"/>
      <c r="O21" s="151" t="s">
        <v>567</v>
      </c>
      <c r="P21" s="863"/>
      <c r="Q21" s="861"/>
    </row>
    <row r="22" spans="1:17" ht="13.8">
      <c r="A22" s="164"/>
      <c r="B22" s="823"/>
      <c r="C22" s="823"/>
      <c r="D22" s="824"/>
      <c r="E22" s="164" t="s">
        <v>454</v>
      </c>
      <c r="F22" s="825"/>
      <c r="G22" s="877"/>
      <c r="H22" s="886"/>
      <c r="I22" s="823"/>
      <c r="J22" s="6"/>
      <c r="K22" s="160"/>
      <c r="L22" s="864"/>
      <c r="M22" s="864"/>
      <c r="N22" s="865"/>
      <c r="O22" s="161" t="s">
        <v>568</v>
      </c>
      <c r="P22" s="866"/>
      <c r="Q22" s="864"/>
    </row>
    <row r="23" spans="1:17" ht="16.8">
      <c r="A23" s="149" t="s">
        <v>9</v>
      </c>
      <c r="B23" s="820" t="s">
        <v>438</v>
      </c>
      <c r="C23" s="820" t="s">
        <v>456</v>
      </c>
      <c r="D23" s="826">
        <v>3</v>
      </c>
      <c r="E23" s="8" t="s">
        <v>440</v>
      </c>
      <c r="F23" s="844" t="s">
        <v>457</v>
      </c>
      <c r="G23" s="868" t="s">
        <v>585</v>
      </c>
      <c r="H23" s="868" t="s">
        <v>528</v>
      </c>
      <c r="I23" s="820" t="s">
        <v>36</v>
      </c>
      <c r="J23" s="6"/>
      <c r="K23" s="134"/>
      <c r="L23" s="140"/>
      <c r="M23" s="141"/>
      <c r="N23" s="142"/>
      <c r="O23" s="135"/>
      <c r="P23" s="145"/>
      <c r="Q23" s="136"/>
    </row>
    <row r="24" spans="1:17" ht="16.8">
      <c r="A24" s="8" t="s">
        <v>455</v>
      </c>
      <c r="B24" s="820"/>
      <c r="C24" s="820"/>
      <c r="D24" s="826"/>
      <c r="E24" s="8" t="s">
        <v>441</v>
      </c>
      <c r="F24" s="844"/>
      <c r="G24" s="869"/>
      <c r="H24" s="869"/>
      <c r="I24" s="820"/>
      <c r="J24" s="6"/>
      <c r="K24" s="136"/>
      <c r="L24" s="140"/>
      <c r="M24" s="141"/>
      <c r="N24" s="142"/>
      <c r="O24" s="135"/>
      <c r="P24" s="145"/>
      <c r="Q24" s="136"/>
    </row>
    <row r="25" spans="1:17" ht="16.8">
      <c r="A25" s="8"/>
      <c r="B25" s="820"/>
      <c r="C25" s="820"/>
      <c r="D25" s="826"/>
      <c r="E25" s="8" t="s">
        <v>442</v>
      </c>
      <c r="F25" s="844"/>
      <c r="G25" s="870"/>
      <c r="H25" s="870"/>
      <c r="I25" s="820"/>
      <c r="J25" s="6"/>
      <c r="K25" s="136"/>
      <c r="L25" s="140"/>
      <c r="M25" s="141"/>
      <c r="N25" s="142"/>
      <c r="O25" s="135"/>
      <c r="P25" s="145"/>
      <c r="Q25" s="136"/>
    </row>
    <row r="26" spans="1:17" ht="16.8">
      <c r="A26" s="149" t="s">
        <v>9</v>
      </c>
      <c r="B26" s="823" t="s">
        <v>459</v>
      </c>
      <c r="C26" s="823" t="s">
        <v>460</v>
      </c>
      <c r="D26" s="827">
        <v>0.85</v>
      </c>
      <c r="E26" s="164" t="s">
        <v>461</v>
      </c>
      <c r="F26" s="840" t="s">
        <v>431</v>
      </c>
      <c r="G26" s="872" t="s">
        <v>585</v>
      </c>
      <c r="H26" s="868" t="s">
        <v>528</v>
      </c>
      <c r="I26" s="823" t="s">
        <v>36</v>
      </c>
      <c r="J26" s="6"/>
      <c r="K26" s="134"/>
      <c r="L26" s="136"/>
      <c r="M26" s="143"/>
      <c r="N26" s="144"/>
      <c r="O26" s="135"/>
      <c r="P26" s="145"/>
      <c r="Q26" s="136"/>
    </row>
    <row r="27" spans="1:17" ht="16.8">
      <c r="A27" s="164" t="s">
        <v>458</v>
      </c>
      <c r="B27" s="823"/>
      <c r="C27" s="823"/>
      <c r="D27" s="827"/>
      <c r="E27" s="164" t="s">
        <v>462</v>
      </c>
      <c r="F27" s="840"/>
      <c r="G27" s="873"/>
      <c r="H27" s="869"/>
      <c r="I27" s="823"/>
      <c r="J27" s="6"/>
      <c r="K27" s="136"/>
      <c r="L27" s="136"/>
      <c r="M27" s="143"/>
      <c r="N27" s="144"/>
      <c r="O27" s="135"/>
      <c r="P27" s="145"/>
      <c r="Q27" s="136"/>
    </row>
    <row r="28" spans="1:17" ht="16.8">
      <c r="A28" s="164"/>
      <c r="B28" s="823"/>
      <c r="C28" s="823"/>
      <c r="D28" s="827"/>
      <c r="E28" s="164" t="s">
        <v>463</v>
      </c>
      <c r="F28" s="840"/>
      <c r="G28" s="874"/>
      <c r="H28" s="870"/>
      <c r="I28" s="823"/>
      <c r="J28" s="6"/>
      <c r="K28" s="136"/>
      <c r="L28" s="136"/>
      <c r="M28" s="143"/>
      <c r="N28" s="144"/>
      <c r="O28" s="135"/>
      <c r="P28" s="145"/>
      <c r="Q28" s="136"/>
    </row>
    <row r="29" spans="1:17" ht="13.8">
      <c r="A29" s="149" t="s">
        <v>33</v>
      </c>
      <c r="B29" s="820" t="s">
        <v>438</v>
      </c>
      <c r="C29" s="820" t="s">
        <v>465</v>
      </c>
      <c r="D29" s="826">
        <v>4</v>
      </c>
      <c r="E29" s="8" t="s">
        <v>440</v>
      </c>
      <c r="F29" s="822" t="s">
        <v>431</v>
      </c>
      <c r="G29" s="875" t="s">
        <v>585</v>
      </c>
      <c r="H29" s="868" t="s">
        <v>528</v>
      </c>
      <c r="I29" s="820" t="s">
        <v>34</v>
      </c>
      <c r="J29" s="6"/>
      <c r="K29" s="8"/>
      <c r="L29" s="8"/>
      <c r="M29" s="8"/>
      <c r="N29" s="8"/>
      <c r="O29" s="8"/>
      <c r="P29" s="8"/>
      <c r="Q29" s="8"/>
    </row>
    <row r="30" spans="1:17" ht="13.8">
      <c r="A30" s="8" t="s">
        <v>464</v>
      </c>
      <c r="B30" s="820"/>
      <c r="C30" s="820"/>
      <c r="D30" s="826"/>
      <c r="E30" s="8" t="s">
        <v>441</v>
      </c>
      <c r="F30" s="822"/>
      <c r="G30" s="876"/>
      <c r="H30" s="869"/>
      <c r="I30" s="820"/>
      <c r="J30" s="6"/>
      <c r="K30" s="8"/>
      <c r="L30" s="8"/>
      <c r="M30" s="8"/>
      <c r="N30" s="8"/>
      <c r="O30" s="8"/>
      <c r="P30" s="8"/>
      <c r="Q30" s="8"/>
    </row>
    <row r="31" spans="1:17" ht="13.8">
      <c r="A31" s="8"/>
      <c r="B31" s="820"/>
      <c r="C31" s="820"/>
      <c r="D31" s="826"/>
      <c r="E31" s="8" t="s">
        <v>442</v>
      </c>
      <c r="F31" s="822"/>
      <c r="G31" s="877"/>
      <c r="H31" s="870"/>
      <c r="I31" s="820"/>
      <c r="J31" s="6"/>
      <c r="K31" s="6"/>
      <c r="L31" s="6"/>
      <c r="M31" s="6"/>
      <c r="N31" s="6"/>
      <c r="O31" s="6"/>
      <c r="P31" s="6"/>
      <c r="Q31" s="6"/>
    </row>
    <row r="32" spans="1:17" ht="13.8">
      <c r="A32" s="149" t="s">
        <v>33</v>
      </c>
      <c r="B32" s="823" t="s">
        <v>466</v>
      </c>
      <c r="C32" s="823" t="s">
        <v>609</v>
      </c>
      <c r="D32" s="824" t="s">
        <v>388</v>
      </c>
      <c r="E32" s="164" t="s">
        <v>467</v>
      </c>
      <c r="F32" s="840" t="s">
        <v>431</v>
      </c>
      <c r="G32" s="872" t="s">
        <v>585</v>
      </c>
      <c r="H32" s="868" t="s">
        <v>528</v>
      </c>
      <c r="I32" s="823" t="s">
        <v>34</v>
      </c>
      <c r="J32" s="6"/>
      <c r="K32" s="6"/>
      <c r="L32" s="6"/>
      <c r="M32" s="6"/>
      <c r="N32" s="6"/>
      <c r="O32" s="6"/>
      <c r="P32" s="6"/>
      <c r="Q32" s="6"/>
    </row>
    <row r="33" spans="1:17" ht="13.8">
      <c r="A33" s="164" t="s">
        <v>387</v>
      </c>
      <c r="B33" s="823"/>
      <c r="C33" s="823"/>
      <c r="D33" s="824"/>
      <c r="E33" s="164" t="s">
        <v>468</v>
      </c>
      <c r="F33" s="840"/>
      <c r="G33" s="873"/>
      <c r="H33" s="869"/>
      <c r="I33" s="823"/>
      <c r="J33" s="6"/>
      <c r="K33" s="6"/>
      <c r="L33" s="6"/>
      <c r="M33" s="6"/>
      <c r="N33" s="6"/>
      <c r="O33" s="6"/>
      <c r="P33" s="6"/>
      <c r="Q33" s="6"/>
    </row>
    <row r="34" spans="1:17" ht="13.8">
      <c r="A34" s="164"/>
      <c r="B34" s="823"/>
      <c r="C34" s="823"/>
      <c r="D34" s="824"/>
      <c r="E34" s="156" t="s">
        <v>469</v>
      </c>
      <c r="F34" s="840"/>
      <c r="G34" s="874"/>
      <c r="H34" s="870"/>
      <c r="I34" s="823"/>
      <c r="J34" s="6"/>
      <c r="K34" s="6"/>
      <c r="L34" s="6"/>
      <c r="M34" s="6"/>
      <c r="N34" s="6"/>
      <c r="O34" s="6"/>
      <c r="P34" s="6"/>
      <c r="Q34" s="6"/>
    </row>
    <row r="35" spans="1:17" ht="25.05" customHeight="1">
      <c r="A35" s="169"/>
      <c r="B35" s="169"/>
      <c r="C35" s="169"/>
      <c r="D35" s="170"/>
      <c r="E35" s="171"/>
      <c r="F35" s="172"/>
      <c r="G35" s="172"/>
      <c r="H35" s="172"/>
      <c r="I35" s="169"/>
      <c r="J35" s="6"/>
      <c r="K35" s="6"/>
      <c r="L35" s="6"/>
      <c r="M35" s="6"/>
      <c r="N35" s="6"/>
      <c r="O35" s="6"/>
      <c r="P35" s="6"/>
      <c r="Q35" s="6"/>
    </row>
    <row r="36" spans="1:17" ht="21" hidden="1">
      <c r="A36" s="856" t="s">
        <v>497</v>
      </c>
      <c r="B36" s="856"/>
      <c r="C36" s="856"/>
      <c r="D36" s="856"/>
      <c r="E36" s="856"/>
      <c r="F36" s="856"/>
      <c r="G36" s="856"/>
      <c r="H36" s="856"/>
      <c r="I36" s="856"/>
      <c r="J36" s="6"/>
      <c r="K36" s="6"/>
      <c r="L36" s="6"/>
      <c r="M36" s="6"/>
      <c r="N36" s="6"/>
      <c r="O36" s="6"/>
      <c r="P36" s="6"/>
      <c r="Q36" s="6"/>
    </row>
    <row r="37" spans="1:17" ht="20.399999999999999" hidden="1">
      <c r="A37" s="199"/>
      <c r="B37" s="197"/>
      <c r="C37" s="197"/>
      <c r="D37" s="197"/>
      <c r="E37" s="197"/>
      <c r="F37" s="197"/>
      <c r="G37" s="197"/>
      <c r="H37" s="197"/>
      <c r="I37" s="197"/>
      <c r="J37" s="6"/>
      <c r="K37" s="6"/>
      <c r="L37" s="6"/>
      <c r="M37" s="6"/>
      <c r="N37" s="6"/>
      <c r="O37" s="6"/>
      <c r="P37" s="6"/>
      <c r="Q37" s="6"/>
    </row>
    <row r="38" spans="1:17" ht="21" hidden="1">
      <c r="A38" s="857" t="s">
        <v>498</v>
      </c>
      <c r="B38" s="857"/>
      <c r="C38" s="857"/>
      <c r="D38" s="857"/>
      <c r="E38" s="857"/>
      <c r="F38" s="857"/>
      <c r="G38" s="857"/>
      <c r="H38" s="857"/>
      <c r="I38" s="857"/>
      <c r="J38" s="6"/>
      <c r="K38" s="6"/>
      <c r="L38" s="6"/>
      <c r="M38" s="6"/>
      <c r="N38" s="6"/>
      <c r="O38" s="6"/>
      <c r="P38" s="6"/>
      <c r="Q38" s="6"/>
    </row>
    <row r="39" spans="1:17" ht="21" hidden="1">
      <c r="A39" s="846" t="s">
        <v>603</v>
      </c>
      <c r="B39" s="846"/>
      <c r="C39" s="846"/>
      <c r="D39" s="846"/>
      <c r="E39" s="846"/>
      <c r="F39" s="846"/>
      <c r="G39" s="846"/>
      <c r="H39" s="846"/>
      <c r="I39" s="846"/>
      <c r="J39" s="6"/>
      <c r="K39" s="6"/>
      <c r="L39" s="6"/>
      <c r="M39" s="6"/>
      <c r="N39" s="6"/>
      <c r="O39" s="6"/>
      <c r="P39" s="6"/>
      <c r="Q39" s="6"/>
    </row>
    <row r="40" spans="1:17" ht="21" hidden="1">
      <c r="A40" s="846" t="s">
        <v>604</v>
      </c>
      <c r="B40" s="846"/>
      <c r="C40" s="846"/>
      <c r="D40" s="846"/>
      <c r="E40" s="846"/>
      <c r="F40" s="846"/>
      <c r="G40" s="846"/>
      <c r="H40" s="846"/>
      <c r="I40" s="846"/>
      <c r="J40" s="6"/>
      <c r="K40" s="6"/>
      <c r="L40" s="6"/>
      <c r="M40" s="6"/>
      <c r="N40" s="6"/>
      <c r="O40" s="6"/>
      <c r="P40" s="6"/>
      <c r="Q40" s="6"/>
    </row>
    <row r="41" spans="1:17" ht="21" hidden="1">
      <c r="A41" s="846" t="s">
        <v>605</v>
      </c>
      <c r="B41" s="846"/>
      <c r="C41" s="846"/>
      <c r="D41" s="846"/>
      <c r="E41" s="846"/>
      <c r="F41" s="846"/>
      <c r="G41" s="846"/>
      <c r="H41" s="846"/>
      <c r="I41" s="846"/>
      <c r="J41" s="6"/>
      <c r="K41" s="6"/>
      <c r="L41" s="6"/>
      <c r="M41" s="6"/>
      <c r="N41" s="6"/>
      <c r="O41" s="6"/>
      <c r="P41" s="6"/>
      <c r="Q41" s="6"/>
    </row>
    <row r="42" spans="1:17" ht="21" hidden="1">
      <c r="A42" s="845" t="s">
        <v>499</v>
      </c>
      <c r="B42" s="845"/>
      <c r="C42" s="845"/>
      <c r="D42" s="845"/>
      <c r="E42" s="845"/>
      <c r="F42" s="845"/>
      <c r="G42" s="845"/>
      <c r="H42" s="845"/>
      <c r="I42" s="845"/>
      <c r="J42" s="6"/>
      <c r="K42" s="6"/>
      <c r="L42" s="6"/>
      <c r="M42" s="6"/>
      <c r="N42" s="6"/>
      <c r="O42" s="6"/>
      <c r="P42" s="6"/>
      <c r="Q42" s="6"/>
    </row>
    <row r="43" spans="1:17" ht="21" hidden="1">
      <c r="A43" s="846" t="s">
        <v>606</v>
      </c>
      <c r="B43" s="846"/>
      <c r="C43" s="846"/>
      <c r="D43" s="846"/>
      <c r="E43" s="846"/>
      <c r="F43" s="846"/>
      <c r="G43" s="846"/>
      <c r="H43" s="846"/>
      <c r="I43" s="846"/>
      <c r="J43" s="6"/>
      <c r="K43" s="6"/>
      <c r="L43" s="6"/>
      <c r="M43" s="6"/>
      <c r="N43" s="6"/>
      <c r="O43" s="6"/>
      <c r="P43" s="6"/>
      <c r="Q43" s="6"/>
    </row>
    <row r="44" spans="1:17" ht="21" hidden="1">
      <c r="A44" s="846" t="s">
        <v>607</v>
      </c>
      <c r="B44" s="846"/>
      <c r="C44" s="846"/>
      <c r="D44" s="846"/>
      <c r="E44" s="846"/>
      <c r="F44" s="846"/>
      <c r="G44" s="846"/>
      <c r="H44" s="846"/>
      <c r="I44" s="846"/>
      <c r="J44" s="6"/>
      <c r="K44" s="6"/>
      <c r="L44" s="6"/>
      <c r="M44" s="6"/>
      <c r="N44" s="6"/>
      <c r="O44" s="6"/>
      <c r="P44" s="6"/>
      <c r="Q44" s="6"/>
    </row>
    <row r="45" spans="1:17" ht="21" hidden="1">
      <c r="A45" s="846" t="s">
        <v>608</v>
      </c>
      <c r="B45" s="846"/>
      <c r="C45" s="846"/>
      <c r="D45" s="846"/>
      <c r="E45" s="846"/>
      <c r="F45" s="846"/>
      <c r="G45" s="846"/>
      <c r="H45" s="846"/>
      <c r="I45" s="846"/>
      <c r="J45" s="6"/>
      <c r="K45" s="6"/>
      <c r="L45" s="6"/>
      <c r="M45" s="6"/>
      <c r="N45" s="6"/>
      <c r="O45" s="6"/>
      <c r="P45" s="6"/>
      <c r="Q45" s="6"/>
    </row>
    <row r="46" spans="1:17" ht="13.8">
      <c r="J46" s="6"/>
      <c r="K46" s="6"/>
      <c r="L46" s="6"/>
      <c r="M46" s="6"/>
      <c r="N46" s="6"/>
      <c r="O46" s="6"/>
      <c r="P46" s="6"/>
      <c r="Q46" s="6"/>
    </row>
    <row r="47" spans="1:17" ht="22.8">
      <c r="A47" s="797" t="s">
        <v>393</v>
      </c>
      <c r="B47" s="797"/>
      <c r="C47" s="797"/>
      <c r="D47" s="797"/>
      <c r="E47" s="185"/>
      <c r="F47" s="185"/>
      <c r="G47" s="6"/>
      <c r="H47" s="6"/>
      <c r="I47" s="6"/>
      <c r="J47" s="6"/>
      <c r="K47" s="6"/>
      <c r="L47" s="6"/>
      <c r="M47" s="6"/>
      <c r="N47" s="6"/>
      <c r="O47" s="6"/>
      <c r="P47" s="6"/>
      <c r="Q47" s="6"/>
    </row>
    <row r="48" spans="1:17" ht="21">
      <c r="A48" s="188" t="s">
        <v>394</v>
      </c>
      <c r="B48" s="188" t="s">
        <v>395</v>
      </c>
      <c r="C48" s="188" t="s">
        <v>94</v>
      </c>
      <c r="D48" s="188" t="s">
        <v>397</v>
      </c>
      <c r="E48" s="179"/>
      <c r="F48" s="179"/>
      <c r="G48" s="179"/>
      <c r="H48" s="179"/>
      <c r="I48" s="6"/>
      <c r="J48" s="6"/>
      <c r="K48" s="6"/>
      <c r="L48" s="6"/>
      <c r="M48" s="6"/>
      <c r="N48" s="6"/>
      <c r="O48" s="6"/>
      <c r="P48" s="6"/>
      <c r="Q48" s="6"/>
    </row>
    <row r="49" spans="1:17" ht="45">
      <c r="A49" s="189" t="s">
        <v>398</v>
      </c>
      <c r="B49" s="190" t="s">
        <v>598</v>
      </c>
      <c r="C49" s="191" t="s">
        <v>599</v>
      </c>
      <c r="D49" s="190" t="s">
        <v>588</v>
      </c>
      <c r="I49" s="6"/>
      <c r="J49" s="6"/>
      <c r="K49" s="6"/>
      <c r="L49" s="6"/>
      <c r="M49" s="6"/>
      <c r="N49" s="6"/>
      <c r="O49" s="6"/>
      <c r="P49" s="6"/>
      <c r="Q49" s="6"/>
    </row>
    <row r="50" spans="1:17" ht="75">
      <c r="A50" s="189" t="s">
        <v>475</v>
      </c>
      <c r="B50" s="190" t="s">
        <v>594</v>
      </c>
      <c r="C50" s="192" t="s">
        <v>600</v>
      </c>
      <c r="D50" s="190" t="s">
        <v>589</v>
      </c>
      <c r="I50" s="6"/>
      <c r="J50" s="6"/>
      <c r="K50" s="6"/>
      <c r="L50" s="6"/>
      <c r="M50" s="6"/>
      <c r="N50" s="6"/>
      <c r="O50" s="6"/>
      <c r="P50" s="6"/>
      <c r="Q50" s="6"/>
    </row>
    <row r="51" spans="1:17" ht="90">
      <c r="A51" s="189" t="s">
        <v>408</v>
      </c>
      <c r="B51" s="190" t="s">
        <v>595</v>
      </c>
      <c r="C51" s="193" t="s">
        <v>601</v>
      </c>
      <c r="D51" s="190" t="s">
        <v>590</v>
      </c>
      <c r="I51" s="6"/>
      <c r="J51" s="6"/>
      <c r="K51" s="6"/>
      <c r="L51" s="6"/>
      <c r="M51" s="6"/>
      <c r="N51" s="6"/>
      <c r="O51" s="6"/>
      <c r="P51" s="6"/>
      <c r="Q51" s="6"/>
    </row>
    <row r="52" spans="1:17" ht="60">
      <c r="A52" s="189" t="s">
        <v>480</v>
      </c>
      <c r="B52" s="190" t="s">
        <v>596</v>
      </c>
      <c r="C52" s="191" t="s">
        <v>602</v>
      </c>
      <c r="D52" s="190" t="s">
        <v>591</v>
      </c>
      <c r="I52" s="6"/>
      <c r="J52" s="6"/>
      <c r="K52" s="6"/>
      <c r="L52" s="6"/>
      <c r="M52" s="6"/>
      <c r="N52" s="6"/>
      <c r="O52" s="6"/>
      <c r="P52" s="6"/>
      <c r="Q52" s="6"/>
    </row>
    <row r="53" spans="1:17" ht="60">
      <c r="A53" s="196" t="s">
        <v>418</v>
      </c>
      <c r="B53" s="194" t="s">
        <v>597</v>
      </c>
      <c r="C53" s="195" t="s">
        <v>593</v>
      </c>
      <c r="D53" s="190" t="s">
        <v>592</v>
      </c>
      <c r="I53" s="6"/>
      <c r="J53" s="6"/>
      <c r="K53" s="6"/>
      <c r="L53" s="6"/>
      <c r="M53" s="6"/>
      <c r="N53" s="6"/>
      <c r="O53" s="6"/>
      <c r="P53" s="6"/>
      <c r="Q53" s="6"/>
    </row>
    <row r="54" spans="1:17" ht="38.549999999999997" customHeight="1">
      <c r="A54" s="187"/>
      <c r="B54" s="53"/>
      <c r="C54" s="53"/>
      <c r="D54" s="53"/>
      <c r="I54" s="6"/>
      <c r="J54" s="6"/>
      <c r="K54" s="6"/>
      <c r="L54" s="6"/>
      <c r="M54" s="6"/>
      <c r="N54" s="6"/>
      <c r="O54" s="6"/>
      <c r="P54" s="6"/>
      <c r="Q54" s="6"/>
    </row>
    <row r="55" spans="1:17" ht="13.8">
      <c r="A55" s="148"/>
      <c r="B55" s="6"/>
      <c r="C55" s="6"/>
      <c r="D55" s="6"/>
      <c r="I55" s="6"/>
      <c r="J55" s="6"/>
      <c r="K55" s="6"/>
      <c r="L55" s="6"/>
      <c r="M55" s="6"/>
      <c r="N55" s="6"/>
      <c r="O55" s="6"/>
      <c r="P55" s="6"/>
      <c r="Q55" s="6"/>
    </row>
    <row r="56" spans="1:17" ht="28.05" hidden="1" customHeight="1">
      <c r="A56" s="847" t="s">
        <v>470</v>
      </c>
      <c r="B56" s="847"/>
      <c r="C56" s="847"/>
      <c r="D56" s="847"/>
      <c r="E56" s="847"/>
      <c r="F56" s="847"/>
      <c r="G56" s="847"/>
      <c r="H56" s="847"/>
      <c r="I56" s="847"/>
      <c r="J56" s="6"/>
      <c r="K56" s="6"/>
      <c r="L56" s="6"/>
      <c r="M56" s="6"/>
      <c r="N56" s="6"/>
      <c r="O56" s="6"/>
      <c r="P56" s="6"/>
      <c r="Q56" s="6"/>
    </row>
    <row r="57" spans="1:17" ht="13.8" hidden="1">
      <c r="A57" s="162" t="s">
        <v>471</v>
      </c>
      <c r="B57" s="162" t="s">
        <v>395</v>
      </c>
      <c r="C57" s="162" t="s">
        <v>472</v>
      </c>
      <c r="D57" s="162" t="s">
        <v>396</v>
      </c>
      <c r="E57" s="162" t="s">
        <v>94</v>
      </c>
      <c r="F57" s="162" t="s">
        <v>348</v>
      </c>
      <c r="G57" s="186"/>
      <c r="H57" s="186"/>
      <c r="I57" s="6"/>
      <c r="J57" s="6"/>
      <c r="K57" s="6"/>
      <c r="L57" s="6"/>
      <c r="M57" s="6"/>
      <c r="N57" s="6"/>
      <c r="O57" s="6"/>
      <c r="P57" s="6"/>
      <c r="Q57" s="6"/>
    </row>
    <row r="58" spans="1:17" ht="14.25" hidden="1" customHeight="1">
      <c r="A58" s="173" t="s">
        <v>398</v>
      </c>
      <c r="B58" s="8" t="s">
        <v>399</v>
      </c>
      <c r="C58" s="205" t="s">
        <v>473</v>
      </c>
      <c r="D58" s="166" t="s">
        <v>400</v>
      </c>
      <c r="E58" s="163" t="s">
        <v>474</v>
      </c>
      <c r="F58" s="8" t="s">
        <v>402</v>
      </c>
      <c r="G58" s="6"/>
      <c r="H58" s="6"/>
      <c r="I58" s="6"/>
      <c r="J58" s="6"/>
      <c r="K58" s="6"/>
      <c r="L58" s="6"/>
      <c r="M58" s="6"/>
      <c r="N58" s="6"/>
      <c r="O58" s="6"/>
      <c r="P58" s="6"/>
      <c r="Q58" s="6"/>
    </row>
    <row r="59" spans="1:17" ht="41.4" hidden="1">
      <c r="A59" s="174" t="s">
        <v>475</v>
      </c>
      <c r="B59" s="164" t="s">
        <v>404</v>
      </c>
      <c r="C59" s="164" t="s">
        <v>476</v>
      </c>
      <c r="D59" s="155" t="s">
        <v>405</v>
      </c>
      <c r="E59" s="165" t="s">
        <v>477</v>
      </c>
      <c r="F59" s="164" t="s">
        <v>407</v>
      </c>
      <c r="G59" s="6"/>
      <c r="H59" s="6"/>
      <c r="I59" s="6"/>
      <c r="J59" s="6"/>
      <c r="K59" s="6"/>
      <c r="L59" s="6"/>
      <c r="M59" s="6"/>
      <c r="N59" s="6"/>
      <c r="O59" s="6"/>
      <c r="P59" s="6"/>
      <c r="Q59" s="6"/>
    </row>
    <row r="60" spans="1:17" ht="41.4" hidden="1">
      <c r="A60" s="173" t="s">
        <v>408</v>
      </c>
      <c r="B60" s="8" t="s">
        <v>409</v>
      </c>
      <c r="C60" s="205" t="s">
        <v>478</v>
      </c>
      <c r="D60" s="166" t="s">
        <v>410</v>
      </c>
      <c r="E60" s="168" t="s">
        <v>479</v>
      </c>
      <c r="F60" s="8" t="s">
        <v>412</v>
      </c>
      <c r="G60" s="6"/>
      <c r="H60" s="6"/>
      <c r="I60" s="6"/>
      <c r="J60" s="6"/>
      <c r="K60" s="6"/>
      <c r="L60" s="6"/>
      <c r="M60" s="6"/>
      <c r="N60" s="6"/>
      <c r="O60" s="6"/>
      <c r="P60" s="6"/>
      <c r="Q60" s="6"/>
    </row>
    <row r="61" spans="1:17" ht="41.4" hidden="1">
      <c r="A61" s="174" t="s">
        <v>480</v>
      </c>
      <c r="B61" s="164" t="s">
        <v>414</v>
      </c>
      <c r="C61" s="206" t="s">
        <v>481</v>
      </c>
      <c r="D61" s="155" t="s">
        <v>482</v>
      </c>
      <c r="E61" s="157" t="s">
        <v>483</v>
      </c>
      <c r="F61" s="164" t="s">
        <v>417</v>
      </c>
      <c r="G61" s="6"/>
      <c r="H61" s="6"/>
      <c r="I61" s="6"/>
      <c r="J61" s="6"/>
      <c r="K61" s="6"/>
      <c r="L61" s="6"/>
      <c r="M61" s="6"/>
      <c r="N61" s="6"/>
      <c r="O61" s="6"/>
      <c r="P61" s="6"/>
      <c r="Q61" s="6"/>
    </row>
    <row r="62" spans="1:17" ht="41.4" hidden="1">
      <c r="A62" s="173" t="s">
        <v>418</v>
      </c>
      <c r="B62" s="8" t="s">
        <v>419</v>
      </c>
      <c r="C62" s="8" t="s">
        <v>484</v>
      </c>
      <c r="D62" s="166" t="s">
        <v>420</v>
      </c>
      <c r="E62" s="167" t="s">
        <v>477</v>
      </c>
      <c r="F62" s="8" t="s">
        <v>421</v>
      </c>
      <c r="G62" s="6"/>
      <c r="H62" s="6"/>
      <c r="I62" s="6"/>
      <c r="J62" s="6"/>
      <c r="K62" s="6"/>
      <c r="L62" s="6"/>
      <c r="M62" s="6"/>
      <c r="N62" s="6"/>
      <c r="O62" s="6"/>
      <c r="P62" s="6"/>
      <c r="Q62" s="6"/>
    </row>
    <row r="63" spans="1:17" ht="13.8" hidden="1">
      <c r="A63" s="173"/>
      <c r="B63" s="8"/>
      <c r="C63" s="8"/>
      <c r="D63" s="173"/>
      <c r="E63" s="173"/>
      <c r="F63" s="8"/>
      <c r="G63" s="6"/>
      <c r="H63" s="6"/>
      <c r="I63" s="6"/>
      <c r="J63" s="6"/>
      <c r="K63" s="6"/>
      <c r="L63" s="6"/>
      <c r="M63" s="6"/>
      <c r="N63" s="6"/>
      <c r="O63" s="6"/>
      <c r="P63" s="6"/>
      <c r="Q63" s="6"/>
    </row>
    <row r="64" spans="1:17" ht="13.8" hidden="1">
      <c r="A64" s="148"/>
      <c r="B64" s="6"/>
      <c r="C64" s="6"/>
      <c r="D64" s="6"/>
    </row>
    <row r="65" spans="1:10" ht="21" hidden="1">
      <c r="A65" s="867" t="s">
        <v>485</v>
      </c>
      <c r="B65" s="867"/>
      <c r="C65" s="867"/>
      <c r="D65" s="867"/>
    </row>
    <row r="66" spans="1:10" ht="13.8" hidden="1">
      <c r="A66" s="176" t="s">
        <v>94</v>
      </c>
      <c r="B66" s="176" t="s">
        <v>486</v>
      </c>
      <c r="C66" s="176" t="s">
        <v>348</v>
      </c>
      <c r="D66" s="176" t="s">
        <v>487</v>
      </c>
    </row>
    <row r="67" spans="1:10" ht="27.6" hidden="1">
      <c r="A67" s="168" t="s">
        <v>457</v>
      </c>
      <c r="B67" s="8" t="s">
        <v>488</v>
      </c>
      <c r="C67" s="8" t="s">
        <v>489</v>
      </c>
      <c r="D67" s="8" t="s">
        <v>490</v>
      </c>
    </row>
    <row r="68" spans="1:10" ht="27.6" hidden="1">
      <c r="A68" s="157" t="s">
        <v>431</v>
      </c>
      <c r="B68" s="164" t="s">
        <v>491</v>
      </c>
      <c r="C68" s="164" t="s">
        <v>492</v>
      </c>
      <c r="D68" s="164" t="s">
        <v>493</v>
      </c>
    </row>
    <row r="69" spans="1:10" ht="27.6" hidden="1">
      <c r="A69" s="177" t="s">
        <v>437</v>
      </c>
      <c r="B69" s="178" t="s">
        <v>494</v>
      </c>
      <c r="C69" s="178" t="s">
        <v>495</v>
      </c>
      <c r="D69" s="178" t="s">
        <v>496</v>
      </c>
    </row>
    <row r="70" spans="1:10" hidden="1"/>
    <row r="72" spans="1:10" ht="22.8">
      <c r="A72" s="817" t="s">
        <v>657</v>
      </c>
      <c r="B72" s="818"/>
      <c r="C72" s="818"/>
      <c r="D72" s="818"/>
      <c r="E72" s="818"/>
      <c r="F72" s="818"/>
      <c r="G72" s="818"/>
      <c r="H72" s="818"/>
      <c r="I72" s="818"/>
      <c r="J72" s="819"/>
    </row>
    <row r="73" spans="1:10">
      <c r="A73" s="200"/>
      <c r="B73" s="40"/>
      <c r="C73" s="40"/>
      <c r="D73" s="40"/>
      <c r="E73" s="40"/>
      <c r="F73" s="40"/>
      <c r="G73" s="40"/>
      <c r="H73" s="40"/>
      <c r="I73" s="40"/>
      <c r="J73" s="40"/>
    </row>
    <row r="74" spans="1:10" ht="27.6">
      <c r="A74" s="208" t="s">
        <v>658</v>
      </c>
      <c r="B74" s="208" t="s">
        <v>394</v>
      </c>
      <c r="C74" s="208" t="s">
        <v>659</v>
      </c>
      <c r="D74" s="208" t="s">
        <v>660</v>
      </c>
      <c r="E74" s="208" t="s">
        <v>395</v>
      </c>
      <c r="F74" s="208" t="s">
        <v>661</v>
      </c>
      <c r="G74" s="208" t="s">
        <v>662</v>
      </c>
      <c r="H74" s="208" t="s">
        <v>663</v>
      </c>
      <c r="I74" s="208" t="s">
        <v>664</v>
      </c>
      <c r="J74" s="208" t="s">
        <v>665</v>
      </c>
    </row>
    <row r="75" spans="1:10" ht="110.4">
      <c r="A75" s="94" t="s">
        <v>666</v>
      </c>
      <c r="B75" s="54" t="s">
        <v>667</v>
      </c>
      <c r="C75" s="54" t="s">
        <v>381</v>
      </c>
      <c r="D75" s="54" t="s">
        <v>668</v>
      </c>
      <c r="E75" s="54" t="s">
        <v>669</v>
      </c>
      <c r="F75" s="54" t="s">
        <v>670</v>
      </c>
      <c r="G75" s="54" t="s">
        <v>671</v>
      </c>
      <c r="H75" s="211" t="s">
        <v>672</v>
      </c>
      <c r="I75" s="94" t="s">
        <v>701</v>
      </c>
      <c r="J75" s="94" t="s">
        <v>702</v>
      </c>
    </row>
    <row r="76" spans="1:10" ht="124.2">
      <c r="A76" s="54"/>
      <c r="B76" s="54"/>
      <c r="C76" s="54"/>
      <c r="D76" s="54"/>
      <c r="E76" s="54" t="s">
        <v>378</v>
      </c>
      <c r="F76" s="54" t="s">
        <v>673</v>
      </c>
      <c r="G76" s="54" t="s">
        <v>674</v>
      </c>
      <c r="H76" s="213" t="s">
        <v>675</v>
      </c>
      <c r="I76" s="94" t="s">
        <v>703</v>
      </c>
      <c r="J76" s="94" t="s">
        <v>704</v>
      </c>
    </row>
    <row r="77" spans="1:10" ht="110.4">
      <c r="A77" s="94" t="s">
        <v>676</v>
      </c>
      <c r="B77" s="54" t="s">
        <v>475</v>
      </c>
      <c r="C77" s="54" t="s">
        <v>677</v>
      </c>
      <c r="D77" s="54" t="s">
        <v>678</v>
      </c>
      <c r="E77" s="54" t="s">
        <v>679</v>
      </c>
      <c r="F77" s="54" t="s">
        <v>680</v>
      </c>
      <c r="G77" s="54" t="s">
        <v>681</v>
      </c>
      <c r="H77" s="211" t="s">
        <v>672</v>
      </c>
      <c r="I77" s="94" t="s">
        <v>705</v>
      </c>
      <c r="J77" s="94" t="s">
        <v>706</v>
      </c>
    </row>
    <row r="78" spans="1:10" ht="110.4">
      <c r="A78" s="54"/>
      <c r="B78" s="54"/>
      <c r="C78" s="54"/>
      <c r="D78" s="54"/>
      <c r="E78" s="54" t="s">
        <v>682</v>
      </c>
      <c r="F78" s="54" t="s">
        <v>683</v>
      </c>
      <c r="G78" s="54" t="s">
        <v>674</v>
      </c>
      <c r="H78" s="214" t="s">
        <v>684</v>
      </c>
      <c r="I78" s="94" t="s">
        <v>707</v>
      </c>
      <c r="J78" s="94" t="s">
        <v>708</v>
      </c>
    </row>
    <row r="79" spans="1:10" ht="96.6">
      <c r="A79" s="94" t="s">
        <v>685</v>
      </c>
      <c r="B79" s="54" t="s">
        <v>686</v>
      </c>
      <c r="C79" s="54" t="s">
        <v>687</v>
      </c>
      <c r="D79" s="54" t="s">
        <v>668</v>
      </c>
      <c r="E79" s="54" t="s">
        <v>370</v>
      </c>
      <c r="F79" s="54" t="s">
        <v>688</v>
      </c>
      <c r="G79" s="54" t="s">
        <v>671</v>
      </c>
      <c r="H79" s="211" t="s">
        <v>672</v>
      </c>
      <c r="I79" s="94" t="s">
        <v>709</v>
      </c>
      <c r="J79" s="94" t="s">
        <v>710</v>
      </c>
    </row>
    <row r="80" spans="1:10" ht="96.6">
      <c r="A80" s="54"/>
      <c r="B80" s="54"/>
      <c r="C80" s="54"/>
      <c r="D80" s="54"/>
      <c r="E80" s="54" t="s">
        <v>689</v>
      </c>
      <c r="F80" s="54" t="s">
        <v>690</v>
      </c>
      <c r="G80" s="54" t="s">
        <v>691</v>
      </c>
      <c r="H80" s="214" t="s">
        <v>684</v>
      </c>
      <c r="I80" s="94" t="s">
        <v>711</v>
      </c>
      <c r="J80" s="94" t="s">
        <v>712</v>
      </c>
    </row>
    <row r="81" spans="1:10" ht="96.6">
      <c r="A81" s="94" t="s">
        <v>692</v>
      </c>
      <c r="B81" s="54" t="s">
        <v>418</v>
      </c>
      <c r="C81" s="209">
        <v>1</v>
      </c>
      <c r="D81" s="209">
        <v>0.75</v>
      </c>
      <c r="E81" s="54" t="s">
        <v>361</v>
      </c>
      <c r="F81" s="54" t="s">
        <v>683</v>
      </c>
      <c r="G81" s="54" t="s">
        <v>674</v>
      </c>
      <c r="H81" s="214" t="s">
        <v>684</v>
      </c>
      <c r="I81" s="94" t="s">
        <v>713</v>
      </c>
      <c r="J81" s="94" t="s">
        <v>714</v>
      </c>
    </row>
    <row r="82" spans="1:10" ht="82.8">
      <c r="A82" s="54"/>
      <c r="B82" s="54"/>
      <c r="C82" s="54"/>
      <c r="D82" s="54"/>
      <c r="E82" s="54" t="s">
        <v>689</v>
      </c>
      <c r="F82" s="54" t="s">
        <v>693</v>
      </c>
      <c r="G82" s="209" t="s">
        <v>721</v>
      </c>
      <c r="H82" s="214" t="s">
        <v>684</v>
      </c>
      <c r="I82" s="94" t="s">
        <v>715</v>
      </c>
      <c r="J82" s="40"/>
    </row>
    <row r="83" spans="1:10" ht="110.4">
      <c r="A83" s="94" t="s">
        <v>694</v>
      </c>
      <c r="B83" s="54" t="s">
        <v>695</v>
      </c>
      <c r="C83" s="54" t="s">
        <v>696</v>
      </c>
      <c r="D83" s="54" t="s">
        <v>668</v>
      </c>
      <c r="E83" s="54" t="s">
        <v>385</v>
      </c>
      <c r="F83" s="54" t="s">
        <v>683</v>
      </c>
      <c r="G83" s="54" t="s">
        <v>674</v>
      </c>
      <c r="H83" s="214" t="s">
        <v>684</v>
      </c>
      <c r="I83" s="94" t="s">
        <v>716</v>
      </c>
      <c r="J83" s="94" t="s">
        <v>717</v>
      </c>
    </row>
    <row r="84" spans="1:10" ht="96.6">
      <c r="A84" s="54"/>
      <c r="B84" s="54"/>
      <c r="C84" s="54"/>
      <c r="D84" s="54"/>
      <c r="E84" s="54" t="s">
        <v>387</v>
      </c>
      <c r="F84" s="54" t="s">
        <v>697</v>
      </c>
      <c r="G84" s="54" t="s">
        <v>723</v>
      </c>
      <c r="H84" s="214" t="s">
        <v>684</v>
      </c>
      <c r="I84" s="94" t="s">
        <v>718</v>
      </c>
      <c r="J84" s="40"/>
    </row>
    <row r="85" spans="1:10" ht="96.6">
      <c r="A85" s="94" t="s">
        <v>698</v>
      </c>
      <c r="B85" s="54" t="s">
        <v>699</v>
      </c>
      <c r="C85" s="54" t="s">
        <v>696</v>
      </c>
      <c r="D85" s="54" t="s">
        <v>668</v>
      </c>
      <c r="E85" s="54" t="s">
        <v>378</v>
      </c>
      <c r="F85" s="54" t="s">
        <v>673</v>
      </c>
      <c r="G85" s="54" t="s">
        <v>674</v>
      </c>
      <c r="H85" s="213" t="s">
        <v>675</v>
      </c>
      <c r="I85" s="94" t="s">
        <v>719</v>
      </c>
      <c r="J85" s="94" t="s">
        <v>720</v>
      </c>
    </row>
    <row r="86" spans="1:10" ht="79.2">
      <c r="A86" s="109"/>
      <c r="B86" s="109"/>
      <c r="C86" s="109"/>
      <c r="D86" s="109"/>
      <c r="E86" s="92" t="s">
        <v>380</v>
      </c>
      <c r="F86" s="92" t="s">
        <v>693</v>
      </c>
      <c r="G86" s="207" t="s">
        <v>722</v>
      </c>
      <c r="H86" s="215" t="s">
        <v>684</v>
      </c>
      <c r="I86" s="116" t="s">
        <v>700</v>
      </c>
      <c r="J86" s="40"/>
    </row>
  </sheetData>
  <mergeCells count="136">
    <mergeCell ref="A65:D65"/>
    <mergeCell ref="H23:H25"/>
    <mergeCell ref="H26:H28"/>
    <mergeCell ref="H29:H31"/>
    <mergeCell ref="H32:H34"/>
    <mergeCell ref="S1:X1"/>
    <mergeCell ref="A47:D47"/>
    <mergeCell ref="G23:G25"/>
    <mergeCell ref="G26:G28"/>
    <mergeCell ref="G29:G31"/>
    <mergeCell ref="G32:G34"/>
    <mergeCell ref="H5:H7"/>
    <mergeCell ref="H8:H10"/>
    <mergeCell ref="H11:H13"/>
    <mergeCell ref="H14:H16"/>
    <mergeCell ref="H17:H19"/>
    <mergeCell ref="H20:H22"/>
    <mergeCell ref="G5:G7"/>
    <mergeCell ref="G8:G10"/>
    <mergeCell ref="G11:G13"/>
    <mergeCell ref="G14:G16"/>
    <mergeCell ref="G17:G19"/>
    <mergeCell ref="G20:G22"/>
    <mergeCell ref="L2:L4"/>
    <mergeCell ref="M2:M4"/>
    <mergeCell ref="N2:N4"/>
    <mergeCell ref="P2:P4"/>
    <mergeCell ref="Q2:Q4"/>
    <mergeCell ref="L20:L22"/>
    <mergeCell ref="M20:M22"/>
    <mergeCell ref="N20:N22"/>
    <mergeCell ref="P20:P22"/>
    <mergeCell ref="Q20:Q22"/>
    <mergeCell ref="L14:L16"/>
    <mergeCell ref="M14:M16"/>
    <mergeCell ref="N14:N16"/>
    <mergeCell ref="P14:P16"/>
    <mergeCell ref="Q14:Q16"/>
    <mergeCell ref="L17:L19"/>
    <mergeCell ref="M17:M19"/>
    <mergeCell ref="N17:N19"/>
    <mergeCell ref="P17:P19"/>
    <mergeCell ref="Q17:Q19"/>
    <mergeCell ref="Q8:Q10"/>
    <mergeCell ref="L11:L13"/>
    <mergeCell ref="M11:M13"/>
    <mergeCell ref="N11:N13"/>
    <mergeCell ref="P11:P13"/>
    <mergeCell ref="A42:I42"/>
    <mergeCell ref="A43:I43"/>
    <mergeCell ref="A44:I44"/>
    <mergeCell ref="A45:I45"/>
    <mergeCell ref="A56:I56"/>
    <mergeCell ref="S11:S12"/>
    <mergeCell ref="T11:T12"/>
    <mergeCell ref="V11:V12"/>
    <mergeCell ref="A1:I1"/>
    <mergeCell ref="A3:I3"/>
    <mergeCell ref="A36:I36"/>
    <mergeCell ref="A38:I38"/>
    <mergeCell ref="A39:I39"/>
    <mergeCell ref="A40:I40"/>
    <mergeCell ref="A41:I41"/>
    <mergeCell ref="S7:S8"/>
    <mergeCell ref="T7:T8"/>
    <mergeCell ref="V7:V8"/>
    <mergeCell ref="S9:S10"/>
    <mergeCell ref="T9:T10"/>
    <mergeCell ref="V9:V10"/>
    <mergeCell ref="S3:S4"/>
    <mergeCell ref="T3:T4"/>
    <mergeCell ref="V3:V4"/>
    <mergeCell ref="B23:B25"/>
    <mergeCell ref="C23:C25"/>
    <mergeCell ref="D23:D25"/>
    <mergeCell ref="F23:F25"/>
    <mergeCell ref="I23:I25"/>
    <mergeCell ref="B26:B28"/>
    <mergeCell ref="C26:C28"/>
    <mergeCell ref="D26:D28"/>
    <mergeCell ref="F26:F28"/>
    <mergeCell ref="I26:I28"/>
    <mergeCell ref="B29:B31"/>
    <mergeCell ref="C29:C31"/>
    <mergeCell ref="D29:D31"/>
    <mergeCell ref="F29:F31"/>
    <mergeCell ref="I29:I31"/>
    <mergeCell ref="B32:B34"/>
    <mergeCell ref="C32:C34"/>
    <mergeCell ref="D32:D34"/>
    <mergeCell ref="F32:F34"/>
    <mergeCell ref="I32:I34"/>
    <mergeCell ref="I17:I19"/>
    <mergeCell ref="B20:B22"/>
    <mergeCell ref="C20:C22"/>
    <mergeCell ref="D20:D22"/>
    <mergeCell ref="F20:F22"/>
    <mergeCell ref="I20:I22"/>
    <mergeCell ref="S5:S6"/>
    <mergeCell ref="T5:T6"/>
    <mergeCell ref="V5:V6"/>
    <mergeCell ref="B17:B19"/>
    <mergeCell ref="Q11:Q13"/>
    <mergeCell ref="L5:L7"/>
    <mergeCell ref="M5:M7"/>
    <mergeCell ref="N5:N7"/>
    <mergeCell ref="P5:P7"/>
    <mergeCell ref="Q5:Q7"/>
    <mergeCell ref="L8:L10"/>
    <mergeCell ref="M8:M10"/>
    <mergeCell ref="N8:N10"/>
    <mergeCell ref="P8:P10"/>
    <mergeCell ref="A72:J72"/>
    <mergeCell ref="B5:B7"/>
    <mergeCell ref="C5:C7"/>
    <mergeCell ref="D5:D7"/>
    <mergeCell ref="F5:F7"/>
    <mergeCell ref="I5:I7"/>
    <mergeCell ref="B8:B10"/>
    <mergeCell ref="C8:C10"/>
    <mergeCell ref="D8:D10"/>
    <mergeCell ref="F8:F10"/>
    <mergeCell ref="I8:I10"/>
    <mergeCell ref="B11:B13"/>
    <mergeCell ref="C11:C13"/>
    <mergeCell ref="D11:D13"/>
    <mergeCell ref="F11:F13"/>
    <mergeCell ref="I11:I13"/>
    <mergeCell ref="B14:B16"/>
    <mergeCell ref="C14:C16"/>
    <mergeCell ref="D14:D16"/>
    <mergeCell ref="F14:F16"/>
    <mergeCell ref="I14:I16"/>
    <mergeCell ref="C17:C19"/>
    <mergeCell ref="D17:D19"/>
    <mergeCell ref="F17:F1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46B4-2FB7-456E-A82F-E2D06A8BFDA2}">
  <sheetPr codeName="Sheet19"/>
  <dimension ref="A1:F54"/>
  <sheetViews>
    <sheetView zoomScale="120" zoomScaleNormal="120" workbookViewId="0">
      <selection activeCell="D10" sqref="D10"/>
    </sheetView>
  </sheetViews>
  <sheetFormatPr defaultRowHeight="13.2"/>
  <cols>
    <col min="1" max="1" width="32.109375" customWidth="1"/>
    <col min="2" max="2" width="36.88671875" customWidth="1"/>
    <col min="3" max="3" width="25.88671875" customWidth="1"/>
    <col min="4" max="4" width="23.33203125" customWidth="1"/>
    <col min="5" max="5" width="11.33203125" customWidth="1"/>
    <col min="6" max="6" width="16.6640625" customWidth="1"/>
  </cols>
  <sheetData>
    <row r="1" spans="1:6" ht="23.25" customHeight="1">
      <c r="A1" s="889" t="s">
        <v>610</v>
      </c>
      <c r="B1" s="889"/>
      <c r="C1" s="889"/>
      <c r="D1" s="889"/>
      <c r="E1" s="889"/>
      <c r="F1" s="889"/>
    </row>
    <row r="3" spans="1:6">
      <c r="A3" s="888" t="s">
        <v>724</v>
      </c>
      <c r="B3" s="888"/>
      <c r="C3" s="888"/>
      <c r="D3" s="888"/>
      <c r="E3" s="888"/>
      <c r="F3" s="888"/>
    </row>
    <row r="4" spans="1:6">
      <c r="A4" s="114"/>
    </row>
    <row r="5" spans="1:6">
      <c r="A5" s="222" t="s">
        <v>323</v>
      </c>
      <c r="B5" s="222" t="s">
        <v>611</v>
      </c>
      <c r="C5" s="222" t="s">
        <v>275</v>
      </c>
      <c r="D5" s="222" t="s">
        <v>352</v>
      </c>
      <c r="E5" s="222" t="s">
        <v>279</v>
      </c>
      <c r="F5" s="222" t="s">
        <v>272</v>
      </c>
    </row>
    <row r="6" spans="1:6">
      <c r="A6" s="117" t="s">
        <v>31</v>
      </c>
      <c r="B6" s="201">
        <v>2</v>
      </c>
      <c r="C6" s="201">
        <v>0</v>
      </c>
      <c r="D6" s="201">
        <v>1</v>
      </c>
      <c r="E6" s="201">
        <v>1</v>
      </c>
      <c r="F6" s="117" t="s">
        <v>248</v>
      </c>
    </row>
    <row r="7" spans="1:6">
      <c r="A7" s="117" t="s">
        <v>23</v>
      </c>
      <c r="B7" s="201">
        <v>2</v>
      </c>
      <c r="C7" s="201">
        <v>1</v>
      </c>
      <c r="D7" s="201">
        <v>1</v>
      </c>
      <c r="E7" s="201">
        <v>0</v>
      </c>
      <c r="F7" s="117" t="s">
        <v>141</v>
      </c>
    </row>
    <row r="8" spans="1:6">
      <c r="A8" s="117" t="s">
        <v>28</v>
      </c>
      <c r="B8" s="201">
        <v>2</v>
      </c>
      <c r="C8" s="201">
        <v>0</v>
      </c>
      <c r="D8" s="201">
        <v>0</v>
      </c>
      <c r="E8" s="201">
        <v>2</v>
      </c>
      <c r="F8" s="117" t="s">
        <v>249</v>
      </c>
    </row>
    <row r="9" spans="1:6">
      <c r="A9" s="117" t="s">
        <v>612</v>
      </c>
      <c r="B9" s="201">
        <v>2</v>
      </c>
      <c r="C9" s="201">
        <v>0</v>
      </c>
      <c r="D9" s="201">
        <v>2</v>
      </c>
      <c r="E9" s="201">
        <v>0</v>
      </c>
      <c r="F9" s="117" t="s">
        <v>141</v>
      </c>
    </row>
    <row r="10" spans="1:6">
      <c r="A10" s="117" t="s">
        <v>613</v>
      </c>
      <c r="B10" s="201">
        <v>2</v>
      </c>
      <c r="C10" s="201">
        <v>1</v>
      </c>
      <c r="D10" s="201" t="s">
        <v>31</v>
      </c>
      <c r="E10" s="201">
        <v>0</v>
      </c>
      <c r="F10" s="117" t="s">
        <v>141</v>
      </c>
    </row>
    <row r="11" spans="1:6">
      <c r="A11" s="117" t="s">
        <v>33</v>
      </c>
      <c r="B11" s="201">
        <v>2</v>
      </c>
      <c r="C11" s="201">
        <v>0</v>
      </c>
      <c r="D11" s="201">
        <v>2</v>
      </c>
      <c r="E11" s="201">
        <v>0</v>
      </c>
      <c r="F11" s="117" t="s">
        <v>141</v>
      </c>
    </row>
    <row r="12" spans="1:6">
      <c r="A12" s="117" t="s">
        <v>614</v>
      </c>
      <c r="B12" s="117">
        <v>12</v>
      </c>
      <c r="C12" s="117">
        <v>2</v>
      </c>
      <c r="D12" s="117">
        <v>7</v>
      </c>
      <c r="E12" s="117">
        <v>3</v>
      </c>
      <c r="F12" s="117" t="s">
        <v>248</v>
      </c>
    </row>
    <row r="15" spans="1:6" ht="17.399999999999999">
      <c r="A15" s="890" t="s">
        <v>615</v>
      </c>
      <c r="B15" s="890"/>
      <c r="C15" s="890"/>
      <c r="D15" s="890"/>
      <c r="E15" s="890"/>
    </row>
    <row r="16" spans="1:6">
      <c r="A16" s="114"/>
    </row>
    <row r="17" spans="1:5" ht="25.05" customHeight="1">
      <c r="A17" s="221" t="s">
        <v>616</v>
      </c>
      <c r="B17" s="221" t="s">
        <v>19</v>
      </c>
      <c r="C17" s="221" t="s">
        <v>133</v>
      </c>
      <c r="D17" s="221" t="s">
        <v>617</v>
      </c>
      <c r="E17" s="221" t="s">
        <v>618</v>
      </c>
    </row>
    <row r="18" spans="1:5">
      <c r="A18" s="117" t="s">
        <v>619</v>
      </c>
      <c r="B18" s="201" t="s">
        <v>620</v>
      </c>
      <c r="C18" s="201" t="s">
        <v>621</v>
      </c>
      <c r="D18" s="201" t="s">
        <v>36</v>
      </c>
      <c r="E18" s="201" t="s">
        <v>622</v>
      </c>
    </row>
    <row r="19" spans="1:5">
      <c r="A19" s="117" t="s">
        <v>623</v>
      </c>
      <c r="B19" s="201" t="s">
        <v>624</v>
      </c>
      <c r="C19" s="201" t="s">
        <v>625</v>
      </c>
      <c r="D19" s="201" t="s">
        <v>26</v>
      </c>
      <c r="E19" s="201" t="s">
        <v>622</v>
      </c>
    </row>
    <row r="20" spans="1:5" ht="23.25" customHeight="1">
      <c r="A20" s="117" t="s">
        <v>626</v>
      </c>
      <c r="B20" s="201" t="s">
        <v>627</v>
      </c>
      <c r="C20" s="201" t="s">
        <v>628</v>
      </c>
      <c r="D20" s="201" t="s">
        <v>26</v>
      </c>
      <c r="E20" s="201" t="s">
        <v>629</v>
      </c>
    </row>
    <row r="22" spans="1:5" ht="17.399999999999999">
      <c r="A22" s="891" t="s">
        <v>630</v>
      </c>
      <c r="B22" s="891"/>
      <c r="C22" s="891"/>
    </row>
    <row r="23" spans="1:5">
      <c r="A23" s="200"/>
      <c r="B23" s="40"/>
      <c r="C23" s="40"/>
    </row>
    <row r="24" spans="1:5">
      <c r="A24" s="221" t="s">
        <v>14</v>
      </c>
      <c r="B24" s="221" t="s">
        <v>346</v>
      </c>
      <c r="C24" s="221" t="s">
        <v>631</v>
      </c>
    </row>
    <row r="25" spans="1:5" ht="26.4">
      <c r="A25" s="116" t="s">
        <v>31</v>
      </c>
      <c r="B25" s="120" t="s">
        <v>632</v>
      </c>
      <c r="C25" s="92" t="s">
        <v>633</v>
      </c>
    </row>
    <row r="26" spans="1:5" ht="26.4">
      <c r="A26" s="116" t="s">
        <v>23</v>
      </c>
      <c r="B26" s="120" t="s">
        <v>634</v>
      </c>
      <c r="C26" s="92" t="s">
        <v>635</v>
      </c>
    </row>
    <row r="27" spans="1:5" ht="26.4">
      <c r="A27" s="116" t="s">
        <v>28</v>
      </c>
      <c r="B27" s="120" t="s">
        <v>636</v>
      </c>
      <c r="C27" s="92" t="s">
        <v>637</v>
      </c>
    </row>
    <row r="28" spans="1:5" ht="26.4">
      <c r="A28" s="116" t="s">
        <v>9</v>
      </c>
      <c r="B28" s="120" t="s">
        <v>634</v>
      </c>
      <c r="C28" s="92" t="s">
        <v>638</v>
      </c>
    </row>
    <row r="29" spans="1:5" ht="26.4">
      <c r="A29" s="116" t="s">
        <v>33</v>
      </c>
      <c r="B29" s="120" t="s">
        <v>634</v>
      </c>
      <c r="C29" s="92" t="s">
        <v>639</v>
      </c>
    </row>
    <row r="31" spans="1:5" ht="17.55" customHeight="1">
      <c r="A31" s="892" t="s">
        <v>640</v>
      </c>
      <c r="B31" s="892"/>
      <c r="C31" s="892"/>
      <c r="D31" s="892"/>
    </row>
    <row r="32" spans="1:5">
      <c r="A32" s="112"/>
    </row>
    <row r="33" spans="1:4">
      <c r="A33" s="893" t="s">
        <v>641</v>
      </c>
      <c r="B33" s="893"/>
      <c r="C33" s="893"/>
    </row>
    <row r="34" spans="1:4">
      <c r="A34" s="893" t="s">
        <v>642</v>
      </c>
      <c r="B34" s="893"/>
      <c r="C34" s="893"/>
    </row>
    <row r="35" spans="1:4">
      <c r="A35" s="893" t="s">
        <v>643</v>
      </c>
      <c r="B35" s="893"/>
      <c r="C35" s="893"/>
    </row>
    <row r="37" spans="1:4" ht="17.399999999999999">
      <c r="A37" s="892" t="s">
        <v>644</v>
      </c>
      <c r="B37" s="892"/>
      <c r="C37" s="892"/>
      <c r="D37" s="892"/>
    </row>
    <row r="38" spans="1:4">
      <c r="A38" s="114"/>
      <c r="B38" s="2"/>
      <c r="C38" s="2"/>
      <c r="D38" s="2"/>
    </row>
    <row r="39" spans="1:4" ht="13.8">
      <c r="A39" s="208" t="s">
        <v>645</v>
      </c>
      <c r="B39" s="208" t="s">
        <v>646</v>
      </c>
      <c r="C39" s="208" t="s">
        <v>647</v>
      </c>
      <c r="D39" s="208" t="s">
        <v>94</v>
      </c>
    </row>
    <row r="40" spans="1:4" ht="13.8">
      <c r="A40" s="94" t="s">
        <v>648</v>
      </c>
      <c r="B40" s="219" t="s">
        <v>356</v>
      </c>
      <c r="C40" s="219" t="s">
        <v>649</v>
      </c>
      <c r="D40" s="54" t="s">
        <v>650</v>
      </c>
    </row>
    <row r="41" spans="1:4" ht="13.8">
      <c r="A41" s="94" t="s">
        <v>651</v>
      </c>
      <c r="B41" s="219">
        <v>3</v>
      </c>
      <c r="C41" s="219" t="s">
        <v>652</v>
      </c>
      <c r="D41" s="54" t="s">
        <v>650</v>
      </c>
    </row>
    <row r="42" spans="1:4" ht="13.8">
      <c r="A42" s="94" t="s">
        <v>408</v>
      </c>
      <c r="B42" s="220">
        <v>0.3</v>
      </c>
      <c r="C42" s="220">
        <v>0.5</v>
      </c>
      <c r="D42" s="54" t="s">
        <v>653</v>
      </c>
    </row>
    <row r="43" spans="1:4" ht="13.8">
      <c r="A43" s="94" t="s">
        <v>654</v>
      </c>
      <c r="B43" s="220">
        <v>0.75</v>
      </c>
      <c r="C43" s="220">
        <v>1</v>
      </c>
      <c r="D43" s="54" t="s">
        <v>655</v>
      </c>
    </row>
    <row r="45" spans="1:4">
      <c r="A45" s="888" t="s">
        <v>656</v>
      </c>
      <c r="B45" s="888"/>
      <c r="C45" s="888"/>
      <c r="D45" s="888"/>
    </row>
    <row r="48" spans="1:4" ht="32.25" customHeight="1">
      <c r="A48" s="887" t="s">
        <v>393</v>
      </c>
      <c r="B48" s="887"/>
      <c r="C48" s="887"/>
      <c r="D48" s="887"/>
    </row>
    <row r="49" spans="1:4" ht="25.5" customHeight="1">
      <c r="A49" s="208" t="s">
        <v>394</v>
      </c>
      <c r="B49" s="208" t="s">
        <v>395</v>
      </c>
      <c r="C49" s="208" t="s">
        <v>94</v>
      </c>
      <c r="D49" s="208" t="s">
        <v>397</v>
      </c>
    </row>
    <row r="50" spans="1:4" ht="41.4">
      <c r="A50" s="94" t="s">
        <v>398</v>
      </c>
      <c r="B50" s="54" t="s">
        <v>598</v>
      </c>
      <c r="C50" s="93" t="s">
        <v>725</v>
      </c>
      <c r="D50" s="54" t="s">
        <v>588</v>
      </c>
    </row>
    <row r="51" spans="1:4" ht="41.4">
      <c r="A51" s="94" t="s">
        <v>475</v>
      </c>
      <c r="B51" s="54" t="s">
        <v>594</v>
      </c>
      <c r="C51" s="210" t="s">
        <v>726</v>
      </c>
      <c r="D51" s="54" t="s">
        <v>589</v>
      </c>
    </row>
    <row r="52" spans="1:4" ht="82.8">
      <c r="A52" s="94" t="s">
        <v>408</v>
      </c>
      <c r="B52" s="54" t="s">
        <v>595</v>
      </c>
      <c r="C52" s="212" t="s">
        <v>727</v>
      </c>
      <c r="D52" s="54" t="s">
        <v>590</v>
      </c>
    </row>
    <row r="53" spans="1:4" ht="41.4">
      <c r="A53" s="94" t="s">
        <v>480</v>
      </c>
      <c r="B53" s="54" t="s">
        <v>596</v>
      </c>
      <c r="C53" s="93" t="s">
        <v>728</v>
      </c>
      <c r="D53" s="54" t="s">
        <v>591</v>
      </c>
    </row>
    <row r="54" spans="1:4" ht="41.4">
      <c r="A54" s="173" t="s">
        <v>418</v>
      </c>
      <c r="B54" s="8" t="s">
        <v>597</v>
      </c>
      <c r="C54" s="216" t="s">
        <v>593</v>
      </c>
      <c r="D54" s="54" t="s">
        <v>592</v>
      </c>
    </row>
  </sheetData>
  <mergeCells count="11">
    <mergeCell ref="A48:D48"/>
    <mergeCell ref="A45:D45"/>
    <mergeCell ref="A1:F1"/>
    <mergeCell ref="A3:F3"/>
    <mergeCell ref="A15:E15"/>
    <mergeCell ref="A22:C22"/>
    <mergeCell ref="A37:D37"/>
    <mergeCell ref="A33:C33"/>
    <mergeCell ref="A34:C34"/>
    <mergeCell ref="A35:C35"/>
    <mergeCell ref="A31:D3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BBDA-087C-422E-B8AB-B413D7E2E82B}">
  <sheetPr codeName="Sheet20"/>
  <dimension ref="A1:F27"/>
  <sheetViews>
    <sheetView workbookViewId="0">
      <selection activeCell="A26" sqref="A26"/>
    </sheetView>
  </sheetViews>
  <sheetFormatPr defaultRowHeight="13.2"/>
  <cols>
    <col min="1" max="1" width="23.33203125" customWidth="1"/>
    <col min="2" max="2" width="21" customWidth="1"/>
    <col min="3" max="3" width="36.6640625" customWidth="1"/>
    <col min="4" max="4" width="18.109375" customWidth="1"/>
    <col min="5" max="5" width="18.88671875" customWidth="1"/>
    <col min="6" max="6" width="28.88671875" customWidth="1"/>
  </cols>
  <sheetData>
    <row r="1" spans="1:6" ht="30">
      <c r="A1" s="894" t="s">
        <v>1085</v>
      </c>
      <c r="B1" s="895"/>
      <c r="C1" s="895"/>
      <c r="D1" s="895"/>
      <c r="E1" s="895"/>
      <c r="F1" s="895"/>
    </row>
    <row r="2" spans="1:6">
      <c r="A2" s="114"/>
    </row>
    <row r="3" spans="1:6" ht="13.8">
      <c r="A3" s="230" t="s">
        <v>658</v>
      </c>
      <c r="B3" s="230" t="s">
        <v>471</v>
      </c>
      <c r="C3" s="230" t="s">
        <v>729</v>
      </c>
      <c r="D3" s="230" t="s">
        <v>659</v>
      </c>
      <c r="E3" s="230" t="s">
        <v>1039</v>
      </c>
      <c r="F3" s="249" t="s">
        <v>1084</v>
      </c>
    </row>
    <row r="4" spans="1:6" ht="39.6">
      <c r="A4" s="116" t="s">
        <v>929</v>
      </c>
      <c r="B4" s="92" t="s">
        <v>667</v>
      </c>
      <c r="C4" s="109" t="s">
        <v>735</v>
      </c>
      <c r="D4" s="201" t="s">
        <v>381</v>
      </c>
      <c r="E4" s="201" t="s">
        <v>381</v>
      </c>
      <c r="F4" s="250"/>
    </row>
    <row r="5" spans="1:6" ht="39.6">
      <c r="A5" s="116" t="s">
        <v>929</v>
      </c>
      <c r="B5" s="92" t="s">
        <v>667</v>
      </c>
      <c r="C5" s="109" t="s">
        <v>735</v>
      </c>
      <c r="D5" s="201" t="s">
        <v>381</v>
      </c>
      <c r="E5" s="201" t="s">
        <v>381</v>
      </c>
      <c r="F5" s="201"/>
    </row>
    <row r="6" spans="1:6" ht="39.6">
      <c r="A6" s="116" t="s">
        <v>929</v>
      </c>
      <c r="B6" s="92" t="s">
        <v>667</v>
      </c>
      <c r="C6" s="109" t="s">
        <v>735</v>
      </c>
      <c r="D6" s="201" t="s">
        <v>381</v>
      </c>
      <c r="E6" s="201" t="s">
        <v>381</v>
      </c>
      <c r="F6" s="201"/>
    </row>
    <row r="7" spans="1:6" ht="26.4">
      <c r="A7" s="116" t="s">
        <v>941</v>
      </c>
      <c r="B7" s="92" t="s">
        <v>475</v>
      </c>
      <c r="C7" s="109" t="s">
        <v>749</v>
      </c>
      <c r="D7" s="201" t="s">
        <v>878</v>
      </c>
      <c r="E7" s="201" t="s">
        <v>878</v>
      </c>
      <c r="F7" s="201"/>
    </row>
    <row r="8" spans="1:6" ht="26.4">
      <c r="A8" s="116" t="s">
        <v>941</v>
      </c>
      <c r="B8" s="92" t="s">
        <v>530</v>
      </c>
      <c r="C8" s="109" t="s">
        <v>753</v>
      </c>
      <c r="D8" s="201" t="s">
        <v>742</v>
      </c>
      <c r="E8" s="201" t="s">
        <v>742</v>
      </c>
      <c r="F8" s="201"/>
    </row>
    <row r="9" spans="1:6" ht="26.4">
      <c r="A9" s="116" t="s">
        <v>950</v>
      </c>
      <c r="B9" s="92" t="s">
        <v>686</v>
      </c>
      <c r="C9" s="109" t="s">
        <v>760</v>
      </c>
      <c r="D9" s="201" t="s">
        <v>879</v>
      </c>
      <c r="E9" s="201" t="s">
        <v>879</v>
      </c>
      <c r="F9" s="201"/>
    </row>
    <row r="10" spans="1:6" ht="26.4">
      <c r="A10" s="116" t="s">
        <v>950</v>
      </c>
      <c r="B10" s="92" t="s">
        <v>686</v>
      </c>
      <c r="C10" s="109" t="s">
        <v>760</v>
      </c>
      <c r="D10" s="201" t="s">
        <v>879</v>
      </c>
      <c r="E10" s="201" t="s">
        <v>879</v>
      </c>
      <c r="F10" s="201"/>
    </row>
    <row r="11" spans="1:6" ht="26.4">
      <c r="A11" s="116" t="s">
        <v>950</v>
      </c>
      <c r="B11" s="92" t="s">
        <v>686</v>
      </c>
      <c r="C11" s="109" t="s">
        <v>760</v>
      </c>
      <c r="D11" s="201" t="s">
        <v>879</v>
      </c>
      <c r="E11" s="201" t="s">
        <v>879</v>
      </c>
      <c r="F11" s="201"/>
    </row>
    <row r="12" spans="1:6" ht="26.4">
      <c r="A12" s="116" t="s">
        <v>962</v>
      </c>
      <c r="B12" s="92" t="s">
        <v>418</v>
      </c>
      <c r="C12" s="109" t="s">
        <v>773</v>
      </c>
      <c r="D12" s="226">
        <v>1</v>
      </c>
      <c r="E12" s="226">
        <v>1</v>
      </c>
      <c r="F12" s="226"/>
    </row>
    <row r="13" spans="1:6" ht="26.4">
      <c r="A13" s="116" t="s">
        <v>962</v>
      </c>
      <c r="B13" s="92" t="s">
        <v>418</v>
      </c>
      <c r="C13" s="109" t="s">
        <v>773</v>
      </c>
      <c r="D13" s="226">
        <v>1</v>
      </c>
      <c r="E13" s="226">
        <v>1</v>
      </c>
      <c r="F13" s="226"/>
    </row>
    <row r="14" spans="1:6" ht="26.4">
      <c r="A14" s="116" t="s">
        <v>962</v>
      </c>
      <c r="B14" s="92" t="s">
        <v>418</v>
      </c>
      <c r="C14" s="109" t="s">
        <v>773</v>
      </c>
      <c r="D14" s="226">
        <v>1</v>
      </c>
      <c r="E14" s="226">
        <v>1</v>
      </c>
      <c r="F14" s="226"/>
    </row>
    <row r="15" spans="1:6" ht="26.4">
      <c r="A15" s="116" t="s">
        <v>974</v>
      </c>
      <c r="B15" s="92" t="s">
        <v>695</v>
      </c>
      <c r="C15" s="109" t="s">
        <v>788</v>
      </c>
      <c r="D15" s="201" t="s">
        <v>696</v>
      </c>
      <c r="E15" s="201" t="s">
        <v>696</v>
      </c>
      <c r="F15" s="201"/>
    </row>
    <row r="16" spans="1:6" ht="26.4">
      <c r="A16" s="116" t="s">
        <v>974</v>
      </c>
      <c r="B16" s="92" t="s">
        <v>793</v>
      </c>
      <c r="C16" s="109" t="s">
        <v>794</v>
      </c>
      <c r="D16" s="201" t="s">
        <v>795</v>
      </c>
      <c r="E16" s="201" t="s">
        <v>795</v>
      </c>
      <c r="F16" s="201"/>
    </row>
    <row r="17" spans="1:6" ht="39.6">
      <c r="A17" s="116" t="s">
        <v>974</v>
      </c>
      <c r="B17" s="92" t="s">
        <v>983</v>
      </c>
      <c r="C17" s="109" t="s">
        <v>1036</v>
      </c>
      <c r="D17" s="201" t="s">
        <v>984</v>
      </c>
      <c r="E17" s="201" t="s">
        <v>984</v>
      </c>
      <c r="F17" s="201"/>
    </row>
    <row r="18" spans="1:6" ht="39.6">
      <c r="A18" s="116" t="s">
        <v>988</v>
      </c>
      <c r="B18" s="92" t="s">
        <v>699</v>
      </c>
      <c r="C18" s="109" t="s">
        <v>802</v>
      </c>
      <c r="D18" s="201" t="s">
        <v>696</v>
      </c>
      <c r="E18" s="201" t="s">
        <v>696</v>
      </c>
      <c r="F18" s="201"/>
    </row>
    <row r="19" spans="1:6" ht="26.4">
      <c r="A19" s="116" t="s">
        <v>988</v>
      </c>
      <c r="B19" s="92" t="s">
        <v>380</v>
      </c>
      <c r="C19" s="109" t="s">
        <v>804</v>
      </c>
      <c r="D19" s="201" t="s">
        <v>795</v>
      </c>
      <c r="E19" s="201" t="s">
        <v>795</v>
      </c>
      <c r="F19" s="201"/>
    </row>
    <row r="20" spans="1:6" ht="39.6">
      <c r="A20" s="116" t="s">
        <v>996</v>
      </c>
      <c r="B20" s="92" t="s">
        <v>810</v>
      </c>
      <c r="C20" s="109" t="s">
        <v>811</v>
      </c>
      <c r="D20" s="201" t="s">
        <v>381</v>
      </c>
      <c r="E20" s="201" t="s">
        <v>381</v>
      </c>
      <c r="F20" s="201"/>
    </row>
    <row r="21" spans="1:6" ht="39.6">
      <c r="A21" s="116" t="s">
        <v>996</v>
      </c>
      <c r="B21" s="92" t="s">
        <v>810</v>
      </c>
      <c r="C21" s="109" t="s">
        <v>811</v>
      </c>
      <c r="D21" s="201" t="s">
        <v>381</v>
      </c>
      <c r="E21" s="201" t="s">
        <v>381</v>
      </c>
      <c r="F21" s="201"/>
    </row>
    <row r="22" spans="1:6" ht="39.6">
      <c r="A22" s="116" t="s">
        <v>1004</v>
      </c>
      <c r="B22" s="92" t="s">
        <v>822</v>
      </c>
      <c r="C22" s="109" t="s">
        <v>823</v>
      </c>
      <c r="D22" s="201" t="s">
        <v>824</v>
      </c>
      <c r="E22" s="201" t="s">
        <v>824</v>
      </c>
      <c r="F22" s="201"/>
    </row>
    <row r="23" spans="1:6" ht="39.6">
      <c r="A23" s="116" t="s">
        <v>1004</v>
      </c>
      <c r="B23" s="92" t="s">
        <v>822</v>
      </c>
      <c r="C23" s="109" t="s">
        <v>823</v>
      </c>
      <c r="D23" s="201" t="s">
        <v>824</v>
      </c>
      <c r="E23" s="201" t="s">
        <v>824</v>
      </c>
      <c r="F23" s="201"/>
    </row>
    <row r="24" spans="1:6" ht="26.4">
      <c r="A24" s="116" t="s">
        <v>1013</v>
      </c>
      <c r="B24" s="92" t="s">
        <v>851</v>
      </c>
      <c r="C24" s="109" t="s">
        <v>852</v>
      </c>
      <c r="D24" s="201" t="s">
        <v>381</v>
      </c>
      <c r="E24" s="201" t="s">
        <v>381</v>
      </c>
      <c r="F24" s="201"/>
    </row>
    <row r="25" spans="1:6" ht="26.4">
      <c r="A25" s="116" t="s">
        <v>1013</v>
      </c>
      <c r="B25" s="92" t="s">
        <v>851</v>
      </c>
      <c r="C25" s="109" t="s">
        <v>852</v>
      </c>
      <c r="D25" s="201" t="s">
        <v>381</v>
      </c>
      <c r="E25" s="201" t="s">
        <v>381</v>
      </c>
      <c r="F25" s="201"/>
    </row>
    <row r="26" spans="1:6" ht="39.6">
      <c r="A26" s="116" t="s">
        <v>1022</v>
      </c>
      <c r="B26" s="92" t="s">
        <v>1023</v>
      </c>
      <c r="C26" s="109" t="s">
        <v>862</v>
      </c>
      <c r="D26" s="201" t="s">
        <v>738</v>
      </c>
      <c r="E26" s="201" t="s">
        <v>738</v>
      </c>
      <c r="F26" s="201"/>
    </row>
    <row r="27" spans="1:6" ht="39.6">
      <c r="A27" s="116" t="s">
        <v>1022</v>
      </c>
      <c r="B27" s="92" t="s">
        <v>1023</v>
      </c>
      <c r="C27" s="109" t="s">
        <v>862</v>
      </c>
      <c r="D27" s="201" t="s">
        <v>738</v>
      </c>
      <c r="E27" s="201" t="s">
        <v>738</v>
      </c>
      <c r="F27" s="201"/>
    </row>
  </sheetData>
  <mergeCells count="1">
    <mergeCell ref="A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R26"/>
  <sheetViews>
    <sheetView zoomScale="80" zoomScaleNormal="80" workbookViewId="0">
      <pane ySplit="6" topLeftCell="A7" activePane="bottomLeft" state="frozen"/>
      <selection activeCell="D10" sqref="D10"/>
      <selection pane="bottomLeft" activeCell="D10" sqref="D10"/>
    </sheetView>
  </sheetViews>
  <sheetFormatPr defaultColWidth="8.6640625" defaultRowHeight="13.8"/>
  <cols>
    <col min="1" max="1" width="14.6640625" style="5" customWidth="1"/>
    <col min="2" max="2" width="65.6640625" style="5" customWidth="1"/>
    <col min="3" max="3" width="43.6640625" style="5" customWidth="1"/>
    <col min="4" max="5" width="28.33203125" style="5" customWidth="1"/>
    <col min="6" max="6" width="13.33203125" style="5" customWidth="1"/>
    <col min="7" max="7" width="28.33203125" style="5" customWidth="1"/>
    <col min="8" max="8" width="12.33203125" style="5" customWidth="1"/>
    <col min="9" max="16384" width="8.6640625" style="5"/>
  </cols>
  <sheetData>
    <row r="1" spans="1:18" customFormat="1">
      <c r="A1" s="896" t="s">
        <v>103</v>
      </c>
      <c r="B1" s="896"/>
      <c r="C1" s="896"/>
      <c r="D1" s="896"/>
      <c r="E1" s="5"/>
    </row>
    <row r="2" spans="1:18" customFormat="1">
      <c r="A2" s="897" t="s">
        <v>1</v>
      </c>
      <c r="B2" s="897"/>
      <c r="C2" s="897"/>
      <c r="D2" s="897"/>
      <c r="E2" s="5"/>
    </row>
    <row r="3" spans="1:18" customFormat="1">
      <c r="A3" s="897" t="s">
        <v>2</v>
      </c>
      <c r="B3" s="897"/>
      <c r="C3" s="897"/>
      <c r="D3" s="897"/>
      <c r="E3" s="5"/>
    </row>
    <row r="4" spans="1:18" customFormat="1" ht="29.25" customHeight="1" thickBot="1">
      <c r="A4" s="898" t="s">
        <v>104</v>
      </c>
      <c r="B4" s="898"/>
      <c r="C4" s="898"/>
      <c r="D4" s="39"/>
      <c r="E4" s="34"/>
      <c r="F4" s="34"/>
      <c r="G4" s="34"/>
      <c r="H4" s="34"/>
      <c r="I4" s="34"/>
      <c r="J4" s="35"/>
      <c r="K4" s="34"/>
      <c r="L4" s="34"/>
      <c r="M4" s="34"/>
      <c r="N4" s="36"/>
      <c r="O4" s="34"/>
      <c r="P4" s="35"/>
      <c r="Q4" s="35"/>
      <c r="R4" s="35"/>
    </row>
    <row r="5" spans="1:18" s="13" customFormat="1" ht="59.25" hidden="1" customHeight="1" thickBot="1">
      <c r="A5" s="3" t="s">
        <v>105</v>
      </c>
      <c r="B5" s="12" t="s">
        <v>106</v>
      </c>
      <c r="C5" s="12" t="s">
        <v>107</v>
      </c>
      <c r="D5" s="12" t="s">
        <v>85</v>
      </c>
      <c r="E5" s="12" t="s">
        <v>85</v>
      </c>
      <c r="F5" s="12"/>
      <c r="G5" s="14" t="s">
        <v>108</v>
      </c>
      <c r="H5" s="12"/>
    </row>
    <row r="6" spans="1:18" ht="27.6">
      <c r="A6" s="97" t="s">
        <v>109</v>
      </c>
      <c r="B6" s="98" t="s">
        <v>110</v>
      </c>
      <c r="C6" s="99" t="s">
        <v>111</v>
      </c>
      <c r="D6" s="98" t="s">
        <v>112</v>
      </c>
      <c r="E6" s="100" t="s">
        <v>113</v>
      </c>
      <c r="F6" s="101" t="s">
        <v>114</v>
      </c>
      <c r="G6" s="100" t="s">
        <v>115</v>
      </c>
      <c r="H6" s="102" t="s">
        <v>116</v>
      </c>
    </row>
    <row r="7" spans="1:18">
      <c r="A7" s="4" t="str">
        <f>IF(B7&lt;&gt;"","PA_" &amp; TEXT(ROW(B7)-6,"0000"),"")</f>
        <v/>
      </c>
      <c r="B7" s="4"/>
      <c r="C7" s="4"/>
      <c r="D7" s="4"/>
      <c r="E7" s="4"/>
      <c r="F7" s="4"/>
      <c r="G7" s="4"/>
      <c r="H7" s="4"/>
    </row>
    <row r="8" spans="1:18">
      <c r="A8" s="4"/>
      <c r="B8" s="4"/>
      <c r="C8" s="4"/>
      <c r="D8" s="4"/>
      <c r="E8" s="4"/>
      <c r="F8" s="4"/>
      <c r="G8" s="4"/>
      <c r="H8" s="4"/>
    </row>
    <row r="9" spans="1:18">
      <c r="A9" s="4"/>
      <c r="B9" s="4"/>
      <c r="C9" s="4"/>
      <c r="D9" s="4"/>
      <c r="E9" s="4"/>
      <c r="F9" s="4"/>
      <c r="G9" s="4"/>
      <c r="H9" s="4"/>
    </row>
    <row r="10" spans="1:18">
      <c r="A10" s="4"/>
      <c r="B10" s="4"/>
      <c r="C10" s="4"/>
      <c r="D10" s="4" t="s">
        <v>31</v>
      </c>
      <c r="E10" s="4"/>
      <c r="F10" s="4"/>
      <c r="G10" s="4"/>
      <c r="H10" s="4"/>
    </row>
    <row r="11" spans="1:18">
      <c r="A11" s="4"/>
      <c r="B11" s="4"/>
      <c r="C11" s="4"/>
      <c r="D11" s="4"/>
      <c r="E11" s="4"/>
      <c r="F11" s="4"/>
      <c r="G11" s="4"/>
      <c r="H11" s="4"/>
    </row>
    <row r="12" spans="1:18">
      <c r="A12" s="4"/>
      <c r="B12" s="4"/>
      <c r="C12" s="4"/>
      <c r="D12" s="4"/>
      <c r="E12" s="4"/>
      <c r="F12" s="4"/>
      <c r="G12" s="4"/>
      <c r="H12" s="4"/>
    </row>
    <row r="13" spans="1:18">
      <c r="A13" s="4"/>
      <c r="B13" s="4"/>
      <c r="C13" s="4"/>
      <c r="D13" s="4"/>
      <c r="E13" s="4"/>
      <c r="F13" s="4"/>
      <c r="G13" s="4"/>
      <c r="H13" s="4"/>
    </row>
    <row r="14" spans="1:18">
      <c r="A14" s="4"/>
      <c r="B14" s="4"/>
      <c r="C14" s="4"/>
      <c r="D14" s="4"/>
      <c r="E14" s="4"/>
      <c r="F14" s="4"/>
      <c r="G14" s="4"/>
      <c r="H14" s="4"/>
    </row>
    <row r="15" spans="1:18">
      <c r="A15" s="4"/>
      <c r="B15" s="4"/>
      <c r="C15" s="4"/>
      <c r="D15" s="4"/>
      <c r="E15" s="4"/>
      <c r="F15" s="4"/>
      <c r="G15" s="4"/>
      <c r="H15" s="4"/>
    </row>
    <row r="16" spans="1:18">
      <c r="A16" s="4"/>
      <c r="B16" s="4"/>
      <c r="C16" s="4"/>
      <c r="D16" s="4"/>
      <c r="E16" s="4"/>
      <c r="F16" s="4"/>
      <c r="G16" s="4"/>
      <c r="H16" s="4"/>
    </row>
    <row r="17" spans="1:8">
      <c r="A17" s="4"/>
      <c r="B17" s="4"/>
      <c r="C17" s="4"/>
      <c r="D17" s="4"/>
      <c r="E17" s="4"/>
      <c r="F17" s="4"/>
      <c r="G17" s="4"/>
      <c r="H17" s="4"/>
    </row>
    <row r="18" spans="1:8">
      <c r="A18" s="4"/>
      <c r="B18" s="4"/>
      <c r="C18" s="4"/>
      <c r="D18" s="4"/>
      <c r="E18" s="4"/>
      <c r="F18" s="4"/>
      <c r="G18" s="4"/>
      <c r="H18" s="4"/>
    </row>
    <row r="19" spans="1:8">
      <c r="A19" s="4"/>
      <c r="B19" s="4"/>
      <c r="C19" s="4"/>
      <c r="D19" s="4"/>
      <c r="E19" s="4"/>
      <c r="F19" s="4"/>
      <c r="G19" s="4"/>
      <c r="H19" s="4"/>
    </row>
    <row r="20" spans="1:8">
      <c r="A20" s="4"/>
      <c r="B20" s="4"/>
      <c r="C20" s="4"/>
      <c r="D20" s="4"/>
      <c r="E20" s="4"/>
      <c r="F20" s="4"/>
      <c r="G20" s="4"/>
      <c r="H20" s="4"/>
    </row>
    <row r="21" spans="1:8">
      <c r="A21" s="4"/>
      <c r="B21" s="4"/>
      <c r="C21" s="4"/>
      <c r="D21" s="4"/>
      <c r="E21" s="4"/>
      <c r="F21" s="4"/>
      <c r="G21" s="4"/>
      <c r="H21" s="4"/>
    </row>
    <row r="22" spans="1:8">
      <c r="A22" s="4"/>
      <c r="B22" s="4"/>
      <c r="C22" s="4"/>
      <c r="D22" s="4"/>
      <c r="E22" s="4"/>
      <c r="F22" s="4"/>
      <c r="G22" s="4"/>
      <c r="H22" s="4"/>
    </row>
    <row r="23" spans="1:8">
      <c r="A23" s="4"/>
      <c r="B23" s="4"/>
      <c r="C23" s="4"/>
      <c r="D23" s="4"/>
      <c r="E23" s="4"/>
      <c r="F23" s="4"/>
      <c r="G23" s="4"/>
      <c r="H23" s="4"/>
    </row>
    <row r="24" spans="1:8">
      <c r="A24" s="4"/>
      <c r="B24" s="4"/>
      <c r="C24" s="4"/>
      <c r="D24" s="4"/>
      <c r="E24" s="4"/>
      <c r="F24" s="4"/>
      <c r="G24" s="4"/>
      <c r="H24" s="4"/>
    </row>
    <row r="25" spans="1:8">
      <c r="A25" s="4"/>
      <c r="B25" s="4"/>
      <c r="C25" s="4"/>
      <c r="D25" s="4"/>
      <c r="E25" s="4"/>
      <c r="F25" s="4"/>
      <c r="G25" s="4"/>
      <c r="H25" s="4"/>
    </row>
    <row r="26" spans="1:8">
      <c r="A26" s="4"/>
      <c r="B26" s="4"/>
      <c r="C26" s="4"/>
      <c r="D26" s="4"/>
      <c r="E26" s="4"/>
      <c r="F26" s="4"/>
      <c r="G26" s="4"/>
      <c r="H26" s="4"/>
    </row>
  </sheetData>
  <customSheetViews>
    <customSheetView guid="{C2C64AFF-719D-4BC9-890F-147B4447CC0D}" scale="80">
      <selection activeCell="C7" sqref="C7"/>
      <pageMargins left="0" right="0" top="0" bottom="0" header="0" footer="0"/>
      <pageSetup paperSize="9" orientation="portrait" r:id="rId1"/>
    </customSheetView>
    <customSheetView guid="{CFB060A1-0877-4347-95EC-FD6452ADBD74}" scale="80">
      <selection activeCell="C7" sqref="C7"/>
      <pageMargins left="0" right="0" top="0" bottom="0" header="0" footer="0"/>
      <pageSetup paperSize="9" orientation="portrait" r:id="rId2"/>
    </customSheetView>
  </customSheetViews>
  <mergeCells count="4">
    <mergeCell ref="A1:D1"/>
    <mergeCell ref="A2:D2"/>
    <mergeCell ref="A3:D3"/>
    <mergeCell ref="A4:C4"/>
  </mergeCells>
  <conditionalFormatting sqref="E7:E26">
    <cfRule type="containsText" dxfId="19" priority="1" operator="containsText" text="Critical">
      <formula>NOT(ISERROR(SEARCH("Critical",E7)))</formula>
    </cfRule>
    <cfRule type="containsText" dxfId="18" priority="2" operator="containsText" text="High">
      <formula>NOT(ISERROR(SEARCH("High",E7)))</formula>
    </cfRule>
    <cfRule type="containsText" dxfId="17" priority="3" operator="containsText" text="Medium">
      <formula>NOT(ISERROR(SEARCH("Medium",E7)))</formula>
    </cfRule>
    <cfRule type="containsText" dxfId="16" priority="4" operator="containsText" text="Low">
      <formula>NOT(ISERROR(SEARCH("Low",E7)))</formula>
    </cfRule>
  </conditionalFormatting>
  <dataValidations count="1">
    <dataValidation type="list" allowBlank="1" showInputMessage="1" showErrorMessage="1" sqref="N4 I4 D7:E26" xr:uid="{00000000-0002-0000-0300-000000000000}">
      <formula1>#REF!</formula1>
    </dataValidation>
  </dataValidations>
  <pageMargins left="0.7" right="0.7" top="0.75" bottom="0.75" header="0.3" footer="0.3"/>
  <pageSetup paperSize="9" orientation="portrait"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26"/>
  <sheetViews>
    <sheetView zoomScale="80" zoomScaleNormal="80" workbookViewId="0">
      <pane xSplit="3" ySplit="6" topLeftCell="D7" activePane="bottomRight" state="frozen"/>
      <selection activeCell="D10" sqref="D10"/>
      <selection pane="topRight" activeCell="D10" sqref="D10"/>
      <selection pane="bottomLeft" activeCell="D10" sqref="D10"/>
      <selection pane="bottomRight" activeCell="C21" sqref="C21"/>
    </sheetView>
  </sheetViews>
  <sheetFormatPr defaultColWidth="8.6640625" defaultRowHeight="13.8"/>
  <cols>
    <col min="1" max="2" width="14.6640625" style="5" customWidth="1"/>
    <col min="3" max="3" width="65.6640625" style="5" customWidth="1"/>
    <col min="4" max="4" width="10.6640625" style="5" customWidth="1"/>
    <col min="5" max="9" width="15.33203125" style="5" customWidth="1"/>
    <col min="10" max="10" width="57.33203125" style="5" customWidth="1"/>
    <col min="11" max="11" width="12.33203125" style="5" customWidth="1"/>
    <col min="12" max="16384" width="8.6640625" style="5"/>
  </cols>
  <sheetData>
    <row r="1" spans="1:18" customFormat="1">
      <c r="A1" s="896" t="s">
        <v>117</v>
      </c>
      <c r="B1" s="896"/>
      <c r="C1" s="896"/>
      <c r="D1" s="896"/>
      <c r="E1" s="5"/>
    </row>
    <row r="2" spans="1:18" customFormat="1">
      <c r="A2" s="897" t="s">
        <v>1</v>
      </c>
      <c r="B2" s="897"/>
      <c r="C2" s="897"/>
      <c r="D2" s="897"/>
      <c r="E2" s="5"/>
    </row>
    <row r="3" spans="1:18" customFormat="1">
      <c r="A3" s="897" t="s">
        <v>2</v>
      </c>
      <c r="B3" s="897"/>
      <c r="C3" s="897"/>
      <c r="D3" s="897"/>
      <c r="E3" s="5"/>
    </row>
    <row r="4" spans="1:18" customFormat="1" ht="29.25" customHeight="1">
      <c r="A4" s="898" t="s">
        <v>104</v>
      </c>
      <c r="B4" s="898"/>
      <c r="C4" s="898"/>
      <c r="D4" s="39"/>
      <c r="E4" s="34"/>
      <c r="F4" s="34"/>
      <c r="G4" s="34"/>
      <c r="H4" s="34"/>
      <c r="I4" s="34"/>
      <c r="J4" s="35"/>
      <c r="K4" s="34"/>
      <c r="L4" s="34"/>
      <c r="M4" s="34"/>
      <c r="N4" s="36"/>
      <c r="O4" s="34"/>
      <c r="P4" s="35"/>
      <c r="Q4" s="35"/>
      <c r="R4" s="35"/>
    </row>
    <row r="5" spans="1:18" s="15" customFormat="1" ht="40.799999999999997" hidden="1">
      <c r="A5" s="33" t="s">
        <v>118</v>
      </c>
      <c r="B5" s="33"/>
      <c r="C5" s="33" t="s">
        <v>119</v>
      </c>
      <c r="D5" s="16" t="s">
        <v>85</v>
      </c>
      <c r="E5" s="16" t="s">
        <v>85</v>
      </c>
      <c r="F5" s="16" t="s">
        <v>85</v>
      </c>
      <c r="G5" s="16"/>
      <c r="H5" s="16"/>
      <c r="I5" s="16"/>
      <c r="J5" s="21" t="s">
        <v>120</v>
      </c>
      <c r="K5" s="16"/>
      <c r="L5" s="21" t="s">
        <v>85</v>
      </c>
    </row>
    <row r="6" spans="1:18" s="37" customFormat="1" ht="27.6">
      <c r="A6" s="103" t="s">
        <v>121</v>
      </c>
      <c r="B6" s="104" t="s">
        <v>10</v>
      </c>
      <c r="C6" s="105" t="s">
        <v>122</v>
      </c>
      <c r="D6" s="106" t="s">
        <v>123</v>
      </c>
      <c r="E6" s="107" t="s">
        <v>89</v>
      </c>
      <c r="F6" s="107" t="s">
        <v>124</v>
      </c>
      <c r="G6" s="107" t="s">
        <v>125</v>
      </c>
      <c r="H6" s="107" t="s">
        <v>114</v>
      </c>
      <c r="I6" s="107" t="s">
        <v>126</v>
      </c>
      <c r="J6" s="105" t="s">
        <v>127</v>
      </c>
      <c r="K6" s="106" t="s">
        <v>116</v>
      </c>
      <c r="L6" s="108" t="s">
        <v>94</v>
      </c>
    </row>
    <row r="7" spans="1:18">
      <c r="A7" s="38" t="str">
        <f>IF(C7&lt;&gt;"","PD_" &amp; TEXT(ROW(C7)-6,"0000"),"")</f>
        <v/>
      </c>
      <c r="B7" s="17"/>
      <c r="C7" s="18"/>
      <c r="D7" s="18"/>
      <c r="E7" s="19"/>
      <c r="F7" s="19"/>
      <c r="G7" s="19"/>
      <c r="H7" s="19"/>
      <c r="I7" s="19"/>
      <c r="J7" s="20"/>
      <c r="K7" s="19"/>
      <c r="L7" s="20"/>
    </row>
    <row r="8" spans="1:18">
      <c r="A8" s="38" t="str">
        <f t="shared" ref="A8:A26" si="0">IF(C8&lt;&gt;"","PD_" &amp; TEXT(ROW(C8)-7,"0000"),"")</f>
        <v/>
      </c>
      <c r="B8" s="17"/>
      <c r="C8" s="18"/>
      <c r="D8" s="18"/>
      <c r="E8" s="19"/>
      <c r="F8" s="19"/>
      <c r="G8" s="19"/>
      <c r="H8" s="19"/>
      <c r="I8" s="19"/>
      <c r="J8" s="20"/>
      <c r="K8" s="19"/>
      <c r="L8" s="20"/>
    </row>
    <row r="9" spans="1:18">
      <c r="A9" s="38" t="str">
        <f t="shared" si="0"/>
        <v/>
      </c>
      <c r="B9" s="17"/>
      <c r="C9" s="18"/>
      <c r="D9" s="18"/>
      <c r="E9" s="19"/>
      <c r="F9" s="19"/>
      <c r="G9" s="19"/>
      <c r="H9" s="19"/>
      <c r="I9" s="19"/>
      <c r="J9" s="20"/>
      <c r="K9" s="19"/>
      <c r="L9" s="20"/>
    </row>
    <row r="10" spans="1:18">
      <c r="A10" s="38" t="str">
        <f t="shared" si="0"/>
        <v/>
      </c>
      <c r="B10" s="17"/>
      <c r="C10" s="18"/>
      <c r="D10" s="18" t="s">
        <v>31</v>
      </c>
      <c r="E10" s="19"/>
      <c r="F10" s="19"/>
      <c r="G10" s="19"/>
      <c r="H10" s="19"/>
      <c r="I10" s="19"/>
      <c r="J10" s="20"/>
      <c r="K10" s="19"/>
      <c r="L10" s="20"/>
    </row>
    <row r="11" spans="1:18">
      <c r="A11" s="38" t="str">
        <f t="shared" si="0"/>
        <v/>
      </c>
      <c r="B11" s="17"/>
      <c r="C11" s="18"/>
      <c r="D11" s="18"/>
      <c r="E11" s="19"/>
      <c r="F11" s="19"/>
      <c r="G11" s="19"/>
      <c r="H11" s="19"/>
      <c r="I11" s="19"/>
      <c r="J11" s="20"/>
      <c r="K11" s="19"/>
      <c r="L11" s="20"/>
    </row>
    <row r="12" spans="1:18">
      <c r="A12" s="38" t="str">
        <f t="shared" si="0"/>
        <v/>
      </c>
      <c r="B12" s="17"/>
      <c r="C12" s="18"/>
      <c r="D12" s="18"/>
      <c r="E12" s="19"/>
      <c r="F12" s="19"/>
      <c r="G12" s="19"/>
      <c r="H12" s="19"/>
      <c r="I12" s="19"/>
      <c r="J12" s="20"/>
      <c r="K12" s="19"/>
      <c r="L12" s="20"/>
    </row>
    <row r="13" spans="1:18">
      <c r="A13" s="38" t="str">
        <f t="shared" si="0"/>
        <v/>
      </c>
      <c r="B13" s="17"/>
      <c r="C13" s="18"/>
      <c r="D13" s="18"/>
      <c r="E13" s="19"/>
      <c r="F13" s="19"/>
      <c r="G13" s="19"/>
      <c r="H13" s="19"/>
      <c r="I13" s="19"/>
      <c r="J13" s="20"/>
      <c r="K13" s="19"/>
      <c r="L13" s="20"/>
    </row>
    <row r="14" spans="1:18">
      <c r="A14" s="38" t="str">
        <f t="shared" si="0"/>
        <v/>
      </c>
      <c r="B14" s="17"/>
      <c r="C14" s="18"/>
      <c r="D14" s="18"/>
      <c r="E14" s="19"/>
      <c r="F14" s="19"/>
      <c r="G14" s="19"/>
      <c r="H14" s="19"/>
      <c r="I14" s="19"/>
      <c r="J14" s="20"/>
      <c r="K14" s="19"/>
      <c r="L14" s="20"/>
    </row>
    <row r="15" spans="1:18">
      <c r="A15" s="38" t="str">
        <f t="shared" si="0"/>
        <v/>
      </c>
      <c r="B15" s="17"/>
      <c r="C15" s="18"/>
      <c r="D15" s="18"/>
      <c r="E15" s="19"/>
      <c r="F15" s="19"/>
      <c r="G15" s="19"/>
      <c r="H15" s="19"/>
      <c r="I15" s="19"/>
      <c r="J15" s="20"/>
      <c r="K15" s="19"/>
      <c r="L15" s="20"/>
    </row>
    <row r="16" spans="1:18">
      <c r="A16" s="38" t="str">
        <f t="shared" si="0"/>
        <v/>
      </c>
      <c r="B16" s="17"/>
      <c r="C16" s="18"/>
      <c r="D16" s="18"/>
      <c r="E16" s="19"/>
      <c r="F16" s="19"/>
      <c r="G16" s="19"/>
      <c r="H16" s="19"/>
      <c r="I16" s="19"/>
      <c r="J16" s="20"/>
      <c r="K16" s="19"/>
      <c r="L16" s="20"/>
    </row>
    <row r="17" spans="1:12">
      <c r="A17" s="38" t="str">
        <f t="shared" si="0"/>
        <v/>
      </c>
      <c r="B17" s="17"/>
      <c r="C17" s="18"/>
      <c r="D17" s="18"/>
      <c r="E17" s="19"/>
      <c r="F17" s="19"/>
      <c r="G17" s="19"/>
      <c r="H17" s="19"/>
      <c r="I17" s="19"/>
      <c r="J17" s="20"/>
      <c r="K17" s="19"/>
      <c r="L17" s="20"/>
    </row>
    <row r="18" spans="1:12">
      <c r="A18" s="38" t="str">
        <f t="shared" si="0"/>
        <v/>
      </c>
      <c r="B18" s="17"/>
      <c r="C18" s="18"/>
      <c r="D18" s="18"/>
      <c r="E18" s="19"/>
      <c r="F18" s="19"/>
      <c r="G18" s="19"/>
      <c r="H18" s="19"/>
      <c r="I18" s="19"/>
      <c r="J18" s="20"/>
      <c r="K18" s="19"/>
      <c r="L18" s="20"/>
    </row>
    <row r="19" spans="1:12">
      <c r="A19" s="38" t="str">
        <f t="shared" si="0"/>
        <v/>
      </c>
      <c r="B19" s="17"/>
      <c r="C19" s="18"/>
      <c r="D19" s="18"/>
      <c r="E19" s="19"/>
      <c r="F19" s="19"/>
      <c r="G19" s="19"/>
      <c r="H19" s="19"/>
      <c r="I19" s="19"/>
      <c r="J19" s="20"/>
      <c r="K19" s="19"/>
      <c r="L19" s="20"/>
    </row>
    <row r="20" spans="1:12">
      <c r="A20" s="38" t="str">
        <f t="shared" si="0"/>
        <v/>
      </c>
      <c r="B20" s="17"/>
      <c r="C20" s="18"/>
      <c r="D20" s="18"/>
      <c r="E20" s="19"/>
      <c r="F20" s="19"/>
      <c r="G20" s="19"/>
      <c r="H20" s="19"/>
      <c r="I20" s="19"/>
      <c r="J20" s="20"/>
      <c r="K20" s="19"/>
      <c r="L20" s="20"/>
    </row>
    <row r="21" spans="1:12">
      <c r="A21" s="38" t="str">
        <f t="shared" si="0"/>
        <v/>
      </c>
      <c r="B21" s="17"/>
      <c r="C21" s="18"/>
      <c r="D21" s="18"/>
      <c r="E21" s="19"/>
      <c r="F21" s="19"/>
      <c r="G21" s="19"/>
      <c r="H21" s="19"/>
      <c r="I21" s="19"/>
      <c r="J21" s="20"/>
      <c r="K21" s="19"/>
      <c r="L21" s="20"/>
    </row>
    <row r="22" spans="1:12">
      <c r="A22" s="38" t="str">
        <f t="shared" si="0"/>
        <v/>
      </c>
      <c r="B22" s="17"/>
      <c r="C22" s="18"/>
      <c r="D22" s="18"/>
      <c r="E22" s="19"/>
      <c r="F22" s="19"/>
      <c r="G22" s="19"/>
      <c r="H22" s="19"/>
      <c r="I22" s="19"/>
      <c r="J22" s="20"/>
      <c r="K22" s="19"/>
      <c r="L22" s="20"/>
    </row>
    <row r="23" spans="1:12">
      <c r="A23" s="38" t="str">
        <f t="shared" si="0"/>
        <v/>
      </c>
      <c r="B23" s="17"/>
      <c r="C23" s="18"/>
      <c r="D23" s="18"/>
      <c r="E23" s="19"/>
      <c r="F23" s="19"/>
      <c r="G23" s="19"/>
      <c r="H23" s="19"/>
      <c r="I23" s="19"/>
      <c r="J23" s="20"/>
      <c r="K23" s="19"/>
      <c r="L23" s="20"/>
    </row>
    <row r="24" spans="1:12">
      <c r="A24" s="38" t="str">
        <f t="shared" si="0"/>
        <v/>
      </c>
      <c r="B24" s="17"/>
      <c r="C24" s="18"/>
      <c r="D24" s="18"/>
      <c r="E24" s="19"/>
      <c r="F24" s="19"/>
      <c r="G24" s="19"/>
      <c r="H24" s="19"/>
      <c r="I24" s="19"/>
      <c r="J24" s="20"/>
      <c r="K24" s="19"/>
      <c r="L24" s="20"/>
    </row>
    <row r="25" spans="1:12">
      <c r="A25" s="38" t="str">
        <f t="shared" si="0"/>
        <v/>
      </c>
      <c r="B25" s="17"/>
      <c r="C25" s="18"/>
      <c r="D25" s="18"/>
      <c r="E25" s="19"/>
      <c r="F25" s="19"/>
      <c r="G25" s="19"/>
      <c r="H25" s="19"/>
      <c r="I25" s="19"/>
      <c r="J25" s="20"/>
      <c r="K25" s="19"/>
      <c r="L25" s="20"/>
    </row>
    <row r="26" spans="1:12">
      <c r="A26" s="38" t="str">
        <f t="shared" si="0"/>
        <v/>
      </c>
      <c r="B26" s="17"/>
      <c r="C26" s="18"/>
      <c r="D26" s="18"/>
      <c r="E26" s="19"/>
      <c r="F26" s="19"/>
      <c r="G26" s="19"/>
      <c r="H26" s="19"/>
      <c r="I26" s="19"/>
      <c r="J26" s="20"/>
      <c r="K26" s="19"/>
      <c r="L26" s="20"/>
    </row>
  </sheetData>
  <customSheetViews>
    <customSheetView guid="{C2C64AFF-719D-4BC9-890F-147B4447CC0D}" scale="80">
      <pane xSplit="3" ySplit="6" topLeftCell="D7" activePane="bottomRight" state="frozen"/>
      <selection pane="bottomRight" activeCell="C7" sqref="C7"/>
      <pageMargins left="0" right="0" top="0" bottom="0" header="0" footer="0"/>
      <pageSetup paperSize="9" orientation="portrait" r:id="rId1"/>
    </customSheetView>
    <customSheetView guid="{CFB060A1-0877-4347-95EC-FD6452ADBD74}" scale="80">
      <pane xSplit="3" ySplit="6" topLeftCell="D7" activePane="bottomRight" state="frozen"/>
      <selection pane="bottomRight" activeCell="C7" sqref="C7"/>
      <pageMargins left="0" right="0" top="0" bottom="0" header="0" footer="0"/>
      <pageSetup paperSize="9" orientation="portrait" r:id="rId2"/>
    </customSheetView>
  </customSheetViews>
  <mergeCells count="4">
    <mergeCell ref="A4:C4"/>
    <mergeCell ref="A3:D3"/>
    <mergeCell ref="A2:D2"/>
    <mergeCell ref="A1:D1"/>
  </mergeCells>
  <dataValidations count="1">
    <dataValidation type="list" allowBlank="1" showInputMessage="1" showErrorMessage="1" sqref="N4 I4 B7:B26 L7:L26 D7:F26" xr:uid="{00000000-0002-0000-0400-000000000000}">
      <formula1>#REF!</formula1>
    </dataValidation>
  </dataValidations>
  <pageMargins left="0.7" right="0.7" top="0.75" bottom="0.75" header="0.3" footer="0.3"/>
  <pageSetup paperSize="9" orientation="portrait"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63491-2D3E-4A36-ACFB-83D265668A28}">
  <sheetPr codeName="Sheet16">
    <tabColor rgb="FF00B0F0"/>
  </sheetPr>
  <dimension ref="A1:AJ75"/>
  <sheetViews>
    <sheetView topLeftCell="A22" zoomScale="30" zoomScaleNormal="30" workbookViewId="0">
      <selection activeCell="J31" sqref="J31"/>
    </sheetView>
  </sheetViews>
  <sheetFormatPr defaultColWidth="9.109375" defaultRowHeight="13.2"/>
  <cols>
    <col min="1" max="1" width="101.88671875" style="334" customWidth="1"/>
    <col min="2" max="2" width="6.6640625" style="334" customWidth="1"/>
    <col min="3" max="3" width="73.88671875" style="334" customWidth="1"/>
    <col min="4" max="4" width="35.5546875" style="334" customWidth="1"/>
    <col min="5" max="5" width="99.109375" style="334" customWidth="1"/>
    <col min="6" max="6" width="81.33203125" style="334" customWidth="1"/>
    <col min="7" max="7" width="103" style="334" customWidth="1"/>
    <col min="8" max="8" width="6.88671875" style="334" customWidth="1"/>
    <col min="9" max="9" width="148.109375" style="401" customWidth="1"/>
    <col min="10" max="10" width="58.5546875" style="334" customWidth="1"/>
    <col min="11" max="12" width="98.88671875" style="334" customWidth="1"/>
    <col min="13" max="13" width="6.6640625" style="334" customWidth="1"/>
    <col min="14" max="14" width="99.109375" style="334" customWidth="1"/>
    <col min="15" max="15" width="58.88671875" style="334" customWidth="1"/>
    <col min="16" max="16" width="81.5546875" style="334" customWidth="1"/>
    <col min="17" max="17" width="6.5546875" style="334" customWidth="1"/>
    <col min="18" max="18" width="78.88671875" style="334" customWidth="1"/>
    <col min="19" max="20" width="117.109375" style="334" customWidth="1"/>
    <col min="21" max="21" width="84.88671875" style="334" customWidth="1"/>
    <col min="22" max="22" width="6.88671875" style="334" customWidth="1"/>
    <col min="23" max="23" width="26.109375" style="334" customWidth="1"/>
    <col min="24" max="24" width="55.88671875" style="334" bestFit="1" customWidth="1"/>
    <col min="25" max="25" width="24.109375" style="334" customWidth="1"/>
    <col min="26" max="27" width="16.88671875" style="334" customWidth="1"/>
    <col min="28" max="28" width="21.44140625" style="334" customWidth="1"/>
    <col min="29" max="29" width="15.88671875" style="334" customWidth="1"/>
    <col min="30" max="30" width="9.109375" style="334" customWidth="1"/>
    <col min="31" max="32" width="25.109375" style="334" customWidth="1"/>
    <col min="33" max="33" width="21" style="334" bestFit="1" customWidth="1"/>
    <col min="34" max="34" width="131.6640625" style="334" bestFit="1" customWidth="1"/>
    <col min="35" max="36" width="59.109375" style="334" bestFit="1" customWidth="1"/>
    <col min="37" max="37" width="9.109375" style="334" customWidth="1"/>
    <col min="38" max="38" width="31.44140625" style="334" customWidth="1"/>
    <col min="39" max="39" width="9.109375" style="334" customWidth="1"/>
    <col min="40" max="16384" width="9.109375" style="334"/>
  </cols>
  <sheetData>
    <row r="1" spans="1:24" ht="74.55" customHeight="1">
      <c r="A1" s="725" t="s">
        <v>1123</v>
      </c>
      <c r="C1" s="727" t="s">
        <v>1042</v>
      </c>
      <c r="D1" s="728"/>
      <c r="E1" s="728"/>
      <c r="F1" s="728"/>
      <c r="G1" s="728"/>
      <c r="H1" s="728"/>
      <c r="I1" s="728"/>
      <c r="J1" s="728"/>
      <c r="K1" s="728"/>
      <c r="L1" s="728"/>
      <c r="M1" s="728"/>
      <c r="N1" s="728"/>
      <c r="O1" s="728"/>
      <c r="P1" s="728"/>
      <c r="Q1" s="728"/>
      <c r="R1" s="728"/>
      <c r="S1" s="728"/>
      <c r="T1" s="728"/>
      <c r="U1" s="728"/>
      <c r="V1" s="728"/>
    </row>
    <row r="2" spans="1:24" ht="12.75" customHeight="1">
      <c r="A2" s="725"/>
    </row>
    <row r="3" spans="1:24" ht="60" customHeight="1" thickBot="1">
      <c r="A3" s="726"/>
      <c r="C3" s="729" t="s">
        <v>1122</v>
      </c>
      <c r="D3" s="730"/>
      <c r="E3" s="730"/>
      <c r="F3" s="730"/>
      <c r="G3" s="730"/>
      <c r="H3" s="730"/>
      <c r="I3" s="730"/>
      <c r="J3" s="730"/>
      <c r="K3" s="730"/>
      <c r="L3" s="730"/>
      <c r="M3" s="730"/>
      <c r="N3" s="730"/>
      <c r="O3" s="730"/>
      <c r="P3" s="730"/>
      <c r="Q3" s="730"/>
      <c r="R3" s="730"/>
      <c r="S3" s="730"/>
      <c r="T3" s="730"/>
      <c r="U3" s="730"/>
      <c r="V3" s="730"/>
    </row>
    <row r="4" spans="1:24" ht="37.35" customHeight="1" thickTop="1" thickBot="1">
      <c r="A4" s="676" t="s">
        <v>1489</v>
      </c>
      <c r="B4" s="402"/>
      <c r="C4" s="403"/>
      <c r="D4" s="403"/>
      <c r="E4" s="403"/>
      <c r="F4" s="403"/>
      <c r="G4" s="403"/>
      <c r="H4" s="403"/>
      <c r="I4" s="404"/>
      <c r="J4" s="403"/>
      <c r="K4" s="403"/>
      <c r="L4" s="403"/>
      <c r="M4" s="403"/>
      <c r="N4" s="403"/>
      <c r="O4" s="402"/>
      <c r="P4" s="402"/>
      <c r="Q4" s="402"/>
      <c r="R4" s="402"/>
      <c r="S4" s="402"/>
      <c r="T4" s="402"/>
      <c r="U4" s="402"/>
      <c r="V4" s="405"/>
    </row>
    <row r="5" spans="1:24" ht="154.5" customHeight="1">
      <c r="A5" s="677"/>
      <c r="C5" s="690" t="s">
        <v>1131</v>
      </c>
      <c r="D5" s="691"/>
      <c r="E5" s="692"/>
      <c r="F5" s="731" t="s">
        <v>1138</v>
      </c>
      <c r="G5" s="680"/>
      <c r="H5" s="444"/>
      <c r="I5" s="690" t="s">
        <v>1121</v>
      </c>
      <c r="J5" s="692"/>
      <c r="K5" s="679" t="s">
        <v>1138</v>
      </c>
      <c r="L5" s="680"/>
      <c r="N5" s="475" t="s">
        <v>1128</v>
      </c>
      <c r="O5" s="476" t="s">
        <v>1034</v>
      </c>
      <c r="P5" s="477" t="s">
        <v>1127</v>
      </c>
      <c r="R5" s="742" t="s">
        <v>1479</v>
      </c>
      <c r="S5" s="743"/>
      <c r="T5" s="749" t="s">
        <v>1482</v>
      </c>
      <c r="U5" s="750"/>
      <c r="V5" s="408"/>
    </row>
    <row r="6" spans="1:24" ht="191.25" customHeight="1" thickBot="1">
      <c r="A6" s="677"/>
      <c r="C6" s="693"/>
      <c r="D6" s="694"/>
      <c r="E6" s="695"/>
      <c r="F6" s="732"/>
      <c r="G6" s="697"/>
      <c r="H6" s="444"/>
      <c r="I6" s="693"/>
      <c r="J6" s="695"/>
      <c r="K6" s="696"/>
      <c r="L6" s="697"/>
      <c r="N6" s="478" t="s">
        <v>508</v>
      </c>
      <c r="O6" s="465" cm="1">
        <f t="array" ref="O6">SUMPRODUCT(
    --(RISK_table[New RISK SCORE]&lt;&gt;RISK_table[Risk Appetite]),
    --(RISK_table[New RISK SCORE]&lt;&gt;""),
    --(RISK_table[Risk Appetite]&lt;&gt;"")
)</f>
        <v>36</v>
      </c>
      <c r="P6" s="485" t="s">
        <v>1129</v>
      </c>
      <c r="R6" s="744"/>
      <c r="S6" s="745"/>
      <c r="T6" s="751"/>
      <c r="U6" s="752"/>
      <c r="V6" s="408"/>
    </row>
    <row r="7" spans="1:24" ht="135.75" customHeight="1">
      <c r="A7" s="677"/>
      <c r="C7" s="461" t="s">
        <v>323</v>
      </c>
      <c r="D7" s="462" t="s">
        <v>1034</v>
      </c>
      <c r="E7" s="463" t="s">
        <v>1035</v>
      </c>
      <c r="F7" s="685"/>
      <c r="G7" s="686"/>
      <c r="I7" s="471" t="s">
        <v>1033</v>
      </c>
      <c r="J7" s="463" t="s">
        <v>1034</v>
      </c>
      <c r="K7" s="685"/>
      <c r="L7" s="686"/>
      <c r="N7" s="445" t="s">
        <v>513</v>
      </c>
      <c r="O7" s="465" cm="1">
        <f t="array" ref="O7">SUMPRODUCT(
    --(RISK_table[New RISK SCORE]=RISK_table[Risk Appetite]),
    --(RISK_table[New RISK SCORE]&lt;&gt;""),
    --(RISK_table[Risk Appetite]&lt;&gt;"")
)</f>
        <v>24</v>
      </c>
      <c r="P7" s="485" t="s">
        <v>1130</v>
      </c>
      <c r="R7" s="489" t="s">
        <v>1480</v>
      </c>
      <c r="S7" s="481" t="s">
        <v>1481</v>
      </c>
      <c r="T7" s="746"/>
      <c r="U7" s="735"/>
      <c r="V7" s="408"/>
    </row>
    <row r="8" spans="1:24" ht="200.1" customHeight="1" thickBot="1">
      <c r="A8" s="677"/>
      <c r="C8" s="464" t="s">
        <v>143</v>
      </c>
      <c r="D8" s="465">
        <f>COUNTIF(RISK_table[New RISK SCORE],C8)</f>
        <v>0</v>
      </c>
      <c r="E8" s="466" t="str" cm="1">
        <f t="array" ref="E8">IF(
  SUM(COUNTIFS(RISK_table[Workstream],
    {"Compliance","Environmental","Financial","GLA Compliance","Governance","Health &amp; Safety","Procurement","Programme","Regulatory","Resourcing","Safety","Social Value","Strategic","Supply Chain","Technical"},
    RISK_table[New RISK SCORE], C8))=0,
  "No Risks In This Category",
  _xlfn.TEXTJOIN(", ", TRUE,
    IF(COUNTIFS(RISK_table[Workstream],"Compliance",RISK_table[New RISK SCORE],C8)&gt;0,"Compliance (" &amp; COUNTIFS(RISK_table[Workstream],"Compliance",RISK_table[New RISK SCORE],C8) &amp; "/" &amp; COUNTIF(RISK_table[Workstream],"Compliance") &amp; ")", ""),
    IF(COUNTIFS(RISK_table[Workstream],"Environmental",RISK_table[New RISK SCORE],C8)&gt;0,"Environmental (" &amp; COUNTIFS(RISK_table[Workstream],"Environmental",RISK_table[New RISK SCORE],C8) &amp; "/" &amp; COUNTIF(RISK_table[Workstream],"Environmental") &amp; ")", ""),
    IF(COUNTIFS(RISK_table[Workstream],"Financial",RISK_table[New RISK SCORE],C8)&gt;0,"Financial (" &amp; COUNTIFS(RISK_table[Workstream],"Financial",RISK_table[New RISK SCORE],C8) &amp; "/" &amp; COUNTIF(RISK_table[Workstream],"Financial") &amp; ")", ""),
    IF(COUNTIFS(RISK_table[Workstream],"GLA Compliance",RISK_table[New RISK SCORE],C8)&gt;0,"GLA Compliance (" &amp; COUNTIFS(RISK_table[Workstream],"GLA Compliance",RISK_table[New RISK SCORE],C8) &amp; "/" &amp; COUNTIF(RISK_table[Workstream],"GLA Compliance") &amp; ")", ""),
    IF(COUNTIFS(RISK_table[Workstream],"Governance",RISK_table[New RISK SCORE],C8)&gt;0,"Governance (" &amp; COUNTIFS(RISK_table[Workstream],"Governance",RISK_table[New RISK SCORE],C8) &amp; "/" &amp; COUNTIF(RISK_table[Workstream],"Governance") &amp; ")", ""),
    IF(COUNTIFS(RISK_table[Workstream],"Health &amp; Safety",RISK_table[New RISK SCORE],C8)&gt;0,"Health &amp; Safety (" &amp; COUNTIFS(RISK_table[Workstream],"Health &amp; Safety",RISK_table[New RISK SCORE],C8) &amp; "/" &amp; COUNTIF(RISK_table[Workstream],"Health &amp; Safety") &amp; ")", ""),
    IF(COUNTIFS(RISK_table[Workstream],"Procurement",RISK_table[New RISK SCORE],C8)&gt;0,"Procurement (" &amp; COUNTIFS(RISK_table[Workstream],"Procurement",RISK_table[New RISK SCORE],C8) &amp; "/" &amp; COUNTIF(RISK_table[Workstream],"Procurement") &amp; ")", ""),
    IF(COUNTIFS(RISK_table[Workstream],"Programme",RISK_table[New RISK SCORE],C8)&gt;0,"Programme (" &amp; COUNTIFS(RISK_table[Workstream],"Programme",RISK_table[New RISK SCORE],C8) &amp; "/" &amp; COUNTIF(RISK_table[Workstream],"Programme") &amp; ")", ""),
    IF(COUNTIFS(RISK_table[Workstream],"Regulatory",RISK_table[New RISK SCORE],C8)&gt;0,"Regulatory (" &amp; COUNTIFS(RISK_table[Workstream],"Regulatory",RISK_table[New RISK SCORE],C8) &amp; "/" &amp; COUNTIF(RISK_table[Workstream],"Regulatory") &amp; ")", ""),
    IF(COUNTIFS(RISK_table[Workstream],"Resourcing",RISK_table[New RISK SCORE],C8)&gt;0,"Resourcing (" &amp; COUNTIFS(RISK_table[Workstream],"Resourcing",RISK_table[New RISK SCORE],C8) &amp; "/" &amp; COUNTIF(RISK_table[Workstream],"Resourcing") &amp; ")", ""),
    IF(COUNTIFS(RISK_table[Workstream],"Safety",RISK_table[New RISK SCORE],C8)&gt;0,"Safety (" &amp; COUNTIFS(RISK_table[Workstream],"Safety",RISK_table[New RISK SCORE],C8) &amp; "/" &amp; COUNTIF(RISK_table[Workstream],"Safety") &amp; ")", ""),
    IF(COUNTIFS(RISK_table[Workstream],"Social Value",RISK_table[New RISK SCORE],C8)&gt;0,"Social Value (" &amp; COUNTIFS(RISK_table[Workstream],"Social Value",RISK_table[New RISK SCORE],C8) &amp; "/" &amp; COUNTIF(RISK_table[Workstream],"Social Value") &amp; ")", ""),
    IF(COUNTIFS(RISK_table[Workstream],"Strategic",RISK_table[New RISK SCORE],C8)&gt;0,"Strategic (" &amp; COUNTIFS(RISK_table[Workstream],"Strategic",RISK_table[New RISK SCORE],C8) &amp; "/" &amp; COUNTIF(RISK_table[Workstream],"Strategic") &amp; ")", ""),
    IF(COUNTIFS(RISK_table[Workstream],"Supply Chain",RISK_table[New RISK SCORE],C8)&gt;0,"Supply Chain (" &amp; COUNTIFS(RISK_table[Workstream],"Supply Chain",RISK_table[New RISK SCORE],C8) &amp; "/" &amp; COUNTIF(RISK_table[Workstream],"Supply Chain") &amp; ")", ""),
    IF(COUNTIFS(RISK_table[Workstream],"Technical",RISK_table[New RISK SCORE],C8)&gt;0,"Technical (" &amp; COUNTIFS(RISK_table[Workstream],"Technical",RISK_table[New RISK SCORE],C8) &amp; "/" &amp; COUNTIF(RISK_table[Workstream],"Technical") &amp; ")", "")
  )
)</f>
        <v>No Risks In This Category</v>
      </c>
      <c r="F8" s="685"/>
      <c r="G8" s="686"/>
      <c r="I8" s="473" t="s">
        <v>32</v>
      </c>
      <c r="J8" s="466">
        <f>COUNTIF(RISK_table[Current Status],I8)</f>
        <v>0</v>
      </c>
      <c r="K8" s="685"/>
      <c r="L8" s="686"/>
      <c r="N8" s="479" t="s">
        <v>1132</v>
      </c>
      <c r="O8" s="480" cm="1">
        <f t="array" ref="O8">SUMPRODUCT(--((RISK_table[New RISK SCORE]="") + (RISK_table[Risk Appetite]="")&gt;0))</f>
        <v>0</v>
      </c>
      <c r="P8" s="486" t="s">
        <v>1133</v>
      </c>
      <c r="R8" s="490" t="s">
        <v>1483</v>
      </c>
      <c r="S8" s="465" cm="1">
        <f t="array" aca="1" ref="S8" ca="1">SUMPRODUCT((RISK_table[Date Added to Risk Register]&lt;&gt;"")*(RISK_table[Current Status]&lt;&gt;"Closed")*(DATEDIF(RISK_table[Date Added to Risk Register],TODAY(),"m")&lt;3))</f>
        <v>4</v>
      </c>
      <c r="T8" s="747"/>
      <c r="U8" s="738"/>
      <c r="V8" s="408"/>
    </row>
    <row r="9" spans="1:24" ht="173.1" customHeight="1">
      <c r="A9" s="677"/>
      <c r="C9" s="467" t="s">
        <v>142</v>
      </c>
      <c r="D9" s="465">
        <f>COUNTIF(RISK_table[New RISK SCORE],C9)</f>
        <v>0</v>
      </c>
      <c r="E9" s="466" t="str" cm="1">
        <f t="array" ref="E9">IF(
  SUM(COUNTIFS(RISK_table[Workstream],
    {"Compliance","Environmental","Financial","GLA Compliance","Governance","Health &amp; Safety","Procurement","Programme","Regulatory","Resourcing","Safety","Social Value","Strategic","Supply Chain","Technical"},
    RISK_table[New RISK SCORE], C9))=0,
  "No Risks In This Category",
  _xlfn.TEXTJOIN(", ", TRUE,
    IF(COUNTIFS(RISK_table[Workstream],"Compliance",RISK_table[New RISK SCORE],C9)&gt;0,"Compliance (" &amp; COUNTIFS(RISK_table[Workstream],"Compliance",RISK_table[New RISK SCORE],C9) &amp; "/" &amp; COUNTIF(RISK_table[Workstream],"Compliance") &amp; ")", ""),
    IF(COUNTIFS(RISK_table[Workstream],"Environmental",RISK_table[New RISK SCORE],C9)&gt;0,"Environmental (" &amp; COUNTIFS(RISK_table[Workstream],"Environmental",RISK_table[New RISK SCORE],C9) &amp; "/" &amp; COUNTIF(RISK_table[Workstream],"Environmental") &amp; ")", ""),
    IF(COUNTIFS(RISK_table[Workstream],"Financial",RISK_table[New RISK SCORE],C9)&gt;0,"Financial (" &amp; COUNTIFS(RISK_table[Workstream],"Financial",RISK_table[New RISK SCORE],C9) &amp; "/" &amp; COUNTIF(RISK_table[Workstream],"Financial") &amp; ")", ""),
    IF(COUNTIFS(RISK_table[Workstream],"GLA Compliance",RISK_table[New RISK SCORE],C9)&gt;0,"GLA Compliance (" &amp; COUNTIFS(RISK_table[Workstream],"GLA Compliance",RISK_table[New RISK SCORE],C9) &amp; "/" &amp; COUNTIF(RISK_table[Workstream],"GLA Compliance") &amp; ")", ""),
    IF(COUNTIFS(RISK_table[Workstream],"Governance",RISK_table[New RISK SCORE],C9)&gt;0,"Governance (" &amp; COUNTIFS(RISK_table[Workstream],"Governance",RISK_table[New RISK SCORE],C9) &amp; "/" &amp; COUNTIF(RISK_table[Workstream],"Governance") &amp; ")", ""),
    IF(COUNTIFS(RISK_table[Workstream],"Health &amp; Safety",RISK_table[New RISK SCORE],C9)&gt;0,"Health &amp; Safety (" &amp; COUNTIFS(RISK_table[Workstream],"Health &amp; Safety",RISK_table[New RISK SCORE],C9) &amp; "/" &amp; COUNTIF(RISK_table[Workstream],"Health &amp; Safety") &amp; ")", ""),
    IF(COUNTIFS(RISK_table[Workstream],"Procurement",RISK_table[New RISK SCORE],C9)&gt;0,"Procurement (" &amp; COUNTIFS(RISK_table[Workstream],"Procurement",RISK_table[New RISK SCORE],C9) &amp; "/" &amp; COUNTIF(RISK_table[Workstream],"Procurement") &amp; ")", ""),
    IF(COUNTIFS(RISK_table[Workstream],"Programme",RISK_table[New RISK SCORE],C9)&gt;0,"Programme (" &amp; COUNTIFS(RISK_table[Workstream],"Programme",RISK_table[New RISK SCORE],C9) &amp; "/" &amp; COUNTIF(RISK_table[Workstream],"Programme") &amp; ")", ""),
    IF(COUNTIFS(RISK_table[Workstream],"Regulatory",RISK_table[New RISK SCORE],C9)&gt;0,"Regulatory (" &amp; COUNTIFS(RISK_table[Workstream],"Regulatory",RISK_table[New RISK SCORE],C9) &amp; "/" &amp; COUNTIF(RISK_table[Workstream],"Regulatory") &amp; ")", ""),
    IF(COUNTIFS(RISK_table[Workstream],"Resourcing",RISK_table[New RISK SCORE],C9)&gt;0,"Resourcing (" &amp; COUNTIFS(RISK_table[Workstream],"Resourcing",RISK_table[New RISK SCORE],C9) &amp; "/" &amp; COUNTIF(RISK_table[Workstream],"Resourcing") &amp; ")", ""),
    IF(COUNTIFS(RISK_table[Workstream],"Safety",RISK_table[New RISK SCORE],C9)&gt;0,"Safety (" &amp; COUNTIFS(RISK_table[Workstream],"Safety",RISK_table[New RISK SCORE],C9) &amp; "/" &amp; COUNTIF(RISK_table[Workstream],"Safety") &amp; ")", ""),
    IF(COUNTIFS(RISK_table[Workstream],"Social Value",RISK_table[New RISK SCORE],C9)&gt;0,"Social Value (" &amp; COUNTIFS(RISK_table[Workstream],"Social Value",RISK_table[New RISK SCORE],C9) &amp; "/" &amp; COUNTIF(RISK_table[Workstream],"Social Value") &amp; ")", ""),
    IF(COUNTIFS(RISK_table[Workstream],"Strategic",RISK_table[New RISK SCORE],C9)&gt;0,"Strategic (" &amp; COUNTIFS(RISK_table[Workstream],"Strategic",RISK_table[New RISK SCORE],C9) &amp; "/" &amp; COUNTIF(RISK_table[Workstream],"Strategic") &amp; ")", ""),
    IF(COUNTIFS(RISK_table[Workstream],"Supply Chain",RISK_table[New RISK SCORE],C9)&gt;0,"Supply Chain (" &amp; COUNTIFS(RISK_table[Workstream],"Supply Chain",RISK_table[New RISK SCORE],C9) &amp; "/" &amp; COUNTIF(RISK_table[Workstream],"Supply Chain") &amp; ")", ""),
    IF(COUNTIFS(RISK_table[Workstream],"Technical",RISK_table[New RISK SCORE],C9)&gt;0,"Technical (" &amp; COUNTIFS(RISK_table[Workstream],"Technical",RISK_table[New RISK SCORE],C9) &amp; "/" &amp; COUNTIF(RISK_table[Workstream],"Technical") &amp; ")", "")
  )
)</f>
        <v>No Risks In This Category</v>
      </c>
      <c r="F9" s="685"/>
      <c r="G9" s="686"/>
      <c r="I9" s="473" t="s">
        <v>27</v>
      </c>
      <c r="J9" s="466">
        <f>COUNTIF(RISK_table[Current Status],I9)</f>
        <v>0</v>
      </c>
      <c r="K9" s="685"/>
      <c r="L9" s="686"/>
      <c r="N9" s="733"/>
      <c r="O9" s="734"/>
      <c r="P9" s="735"/>
      <c r="R9" s="490" t="s">
        <v>1476</v>
      </c>
      <c r="S9" s="465" cm="1">
        <f t="array" aca="1" ref="S9" ca="1">SUMPRODUCT((RISK_table[Date Added to Risk Register]&lt;&gt;"")*(RISK_table[Current Status]&lt;&gt;"Closed")*(DATEDIF(RISK_table[Date Added to Risk Register],TODAY(),"m")&gt;=3)*(DATEDIF(RISK_table[Date Added to Risk Register],TODAY(),"m")&lt;6))</f>
        <v>0</v>
      </c>
      <c r="T9" s="747"/>
      <c r="U9" s="738"/>
      <c r="V9" s="408"/>
      <c r="X9" s="452"/>
    </row>
    <row r="10" spans="1:24" ht="173.1" customHeight="1" thickBot="1">
      <c r="A10" s="677"/>
      <c r="C10" s="468" t="s">
        <v>159</v>
      </c>
      <c r="D10" s="465">
        <f>COUNTIF(RISK_table[New RISK SCORE],C10)</f>
        <v>0</v>
      </c>
      <c r="E10" s="466" t="str" cm="1">
        <f t="array" ref="E10">IF(
  SUM(COUNTIFS(RISK_table[Workstream],
    {"Compliance","Environmental","Financial","GLA Compliance","Governance","Health &amp; Safety","Procurement","Programme","Regulatory","Resourcing","Safety","Social Value","Strategic","Supply Chain","Technical"},
    RISK_table[New RISK SCORE], C10))=0,
  "No Risks In This Category",
  _xlfn.TEXTJOIN(", ", TRUE,
    IF(COUNTIFS(RISK_table[Workstream],"Compliance",RISK_table[New RISK SCORE],C10)&gt;0,"Compliance (" &amp; COUNTIFS(RISK_table[Workstream],"Compliance",RISK_table[New RISK SCORE],C10) &amp; "/" &amp; COUNTIF(RISK_table[Workstream],"Compliance") &amp; ")", ""),
    IF(COUNTIFS(RISK_table[Workstream],"Environmental",RISK_table[New RISK SCORE],C10)&gt;0,"Environmental (" &amp; COUNTIFS(RISK_table[Workstream],"Environmental",RISK_table[New RISK SCORE],C10) &amp; "/" &amp; COUNTIF(RISK_table[Workstream],"Environmental") &amp; ")", ""),
    IF(COUNTIFS(RISK_table[Workstream],"Financial",RISK_table[New RISK SCORE],C10)&gt;0,"Financial (" &amp; COUNTIFS(RISK_table[Workstream],"Financial",RISK_table[New RISK SCORE],C10) &amp; "/" &amp; COUNTIF(RISK_table[Workstream],"Financial") &amp; ")", ""),
    IF(COUNTIFS(RISK_table[Workstream],"GLA Compliance",RISK_table[New RISK SCORE],C10)&gt;0,"GLA Compliance (" &amp; COUNTIFS(RISK_table[Workstream],"GLA Compliance",RISK_table[New RISK SCORE],C10) &amp; "/" &amp; COUNTIF(RISK_table[Workstream],"GLA Compliance") &amp; ")", ""),
    IF(COUNTIFS(RISK_table[Workstream],"Governance",RISK_table[New RISK SCORE],C10)&gt;0,"Governance (" &amp; COUNTIFS(RISK_table[Workstream],"Governance",RISK_table[New RISK SCORE],C10) &amp; "/" &amp; COUNTIF(RISK_table[Workstream],"Governance") &amp; ")", ""),
    IF(COUNTIFS(RISK_table[Workstream],"Health &amp; Safety",RISK_table[New RISK SCORE],C10)&gt;0,"Health &amp; Safety (" &amp; COUNTIFS(RISK_table[Workstream],"Health &amp; Safety",RISK_table[New RISK SCORE],C10) &amp; "/" &amp; COUNTIF(RISK_table[Workstream],"Health &amp; Safety") &amp; ")", ""),
    IF(COUNTIFS(RISK_table[Workstream],"Procurement",RISK_table[New RISK SCORE],C10)&gt;0,"Procurement (" &amp; COUNTIFS(RISK_table[Workstream],"Procurement",RISK_table[New RISK SCORE],C10) &amp; "/" &amp; COUNTIF(RISK_table[Workstream],"Procurement") &amp; ")", ""),
    IF(COUNTIFS(RISK_table[Workstream],"Programme",RISK_table[New RISK SCORE],C10)&gt;0,"Programme (" &amp; COUNTIFS(RISK_table[Workstream],"Programme",RISK_table[New RISK SCORE],C10) &amp; "/" &amp; COUNTIF(RISK_table[Workstream],"Programme") &amp; ")", ""),
    IF(COUNTIFS(RISK_table[Workstream],"Regulatory",RISK_table[New RISK SCORE],C10)&gt;0,"Regulatory (" &amp; COUNTIFS(RISK_table[Workstream],"Regulatory",RISK_table[New RISK SCORE],C10) &amp; "/" &amp; COUNTIF(RISK_table[Workstream],"Regulatory") &amp; ")", ""),
    IF(COUNTIFS(RISK_table[Workstream],"Resourcing",RISK_table[New RISK SCORE],C10)&gt;0,"Resourcing (" &amp; COUNTIFS(RISK_table[Workstream],"Resourcing",RISK_table[New RISK SCORE],C10) &amp; "/" &amp; COUNTIF(RISK_table[Workstream],"Resourcing") &amp; ")", ""),
    IF(COUNTIFS(RISK_table[Workstream],"Safety",RISK_table[New RISK SCORE],C10)&gt;0,"Safety (" &amp; COUNTIFS(RISK_table[Workstream],"Safety",RISK_table[New RISK SCORE],C10) &amp; "/" &amp; COUNTIF(RISK_table[Workstream],"Safety") &amp; ")", ""),
    IF(COUNTIFS(RISK_table[Workstream],"Social Value",RISK_table[New RISK SCORE],C10)&gt;0,"Social Value (" &amp; COUNTIFS(RISK_table[Workstream],"Social Value",RISK_table[New RISK SCORE],C10) &amp; "/" &amp; COUNTIF(RISK_table[Workstream],"Social Value") &amp; ")", ""),
    IF(COUNTIFS(RISK_table[Workstream],"Strategic",RISK_table[New RISK SCORE],C10)&gt;0,"Strategic (" &amp; COUNTIFS(RISK_table[Workstream],"Strategic",RISK_table[New RISK SCORE],C10) &amp; "/" &amp; COUNTIF(RISK_table[Workstream],"Strategic") &amp; ")", ""),
    IF(COUNTIFS(RISK_table[Workstream],"Supply Chain",RISK_table[New RISK SCORE],C10)&gt;0,"Supply Chain (" &amp; COUNTIFS(RISK_table[Workstream],"Supply Chain",RISK_table[New RISK SCORE],C10) &amp; "/" &amp; COUNTIF(RISK_table[Workstream],"Supply Chain") &amp; ")", ""),
    IF(COUNTIFS(RISK_table[Workstream],"Technical",RISK_table[New RISK SCORE],C10)&gt;0,"Technical (" &amp; COUNTIFS(RISK_table[Workstream],"Technical",RISK_table[New RISK SCORE],C10) &amp; "/" &amp; COUNTIF(RISK_table[Workstream],"Technical") &amp; ")", "")
  )
)</f>
        <v>No Risks In This Category</v>
      </c>
      <c r="F10" s="685"/>
      <c r="G10" s="686"/>
      <c r="I10" s="473" t="s">
        <v>35</v>
      </c>
      <c r="J10" s="466">
        <f>COUNTIF(RISK_table[Current Status],I10)</f>
        <v>0</v>
      </c>
      <c r="K10" s="685"/>
      <c r="L10" s="686"/>
      <c r="N10" s="736"/>
      <c r="O10" s="737"/>
      <c r="P10" s="738"/>
      <c r="R10" s="490" t="s">
        <v>1477</v>
      </c>
      <c r="S10" s="465" cm="1">
        <f t="array" aca="1" ref="S10" ca="1">SUMPRODUCT((RISK_table[Date Added to Risk Register]&lt;&gt;"")*(RISK_table[Current Status]&lt;&gt;"Closed")*(DATEDIF(RISK_table[Date Added to Risk Register],TODAY(),"m")&gt;=6)*(DATEDIF(RISK_table[Date Added to Risk Register],TODAY(),"m")&lt;12))</f>
        <v>0</v>
      </c>
      <c r="T10" s="747"/>
      <c r="U10" s="738"/>
      <c r="V10" s="408"/>
    </row>
    <row r="11" spans="1:24" ht="173.1" customHeight="1">
      <c r="A11" s="677"/>
      <c r="C11" s="469" t="s">
        <v>59</v>
      </c>
      <c r="D11" s="465">
        <f>COUNTIF(RISK_table[New RISK SCORE],C11)</f>
        <v>44</v>
      </c>
      <c r="E11" s="466" t="str" cm="1">
        <f t="array" ref="E11">IF(
  SUM(COUNTIFS(RISK_table[Workstream],
    {"Compliance","Environmental","Financial","GLA Compliance","Governance","Health &amp; Safety","Procurement","Programme","Regulatory","Resourcing","Safety","Social Value","Strategic","Supply Chain","Technical"},
    RISK_table[New RISK SCORE], C11))=0,
  "No Risks In This Category",
  _xlfn.TEXTJOIN(", ", TRUE,
    IF(COUNTIFS(RISK_table[Workstream],"Compliance",RISK_table[New RISK SCORE],C11)&gt;0,"Compliance (" &amp; COUNTIFS(RISK_table[Workstream],"Compliance",RISK_table[New RISK SCORE],C11) &amp; "/" &amp; COUNTIF(RISK_table[Workstream],"Compliance") &amp; ")", ""),
    IF(COUNTIFS(RISK_table[Workstream],"Environmental",RISK_table[New RISK SCORE],C11)&gt;0,"Environmental (" &amp; COUNTIFS(RISK_table[Workstream],"Environmental",RISK_table[New RISK SCORE],C11) &amp; "/" &amp; COUNTIF(RISK_table[Workstream],"Environmental") &amp; ")", ""),
    IF(COUNTIFS(RISK_table[Workstream],"Financial",RISK_table[New RISK SCORE],C11)&gt;0,"Financial (" &amp; COUNTIFS(RISK_table[Workstream],"Financial",RISK_table[New RISK SCORE],C11) &amp; "/" &amp; COUNTIF(RISK_table[Workstream],"Financial") &amp; ")", ""),
    IF(COUNTIFS(RISK_table[Workstream],"GLA Compliance",RISK_table[New RISK SCORE],C11)&gt;0,"GLA Compliance (" &amp; COUNTIFS(RISK_table[Workstream],"GLA Compliance",RISK_table[New RISK SCORE],C11) &amp; "/" &amp; COUNTIF(RISK_table[Workstream],"GLA Compliance") &amp; ")", ""),
    IF(COUNTIFS(RISK_table[Workstream],"Governance",RISK_table[New RISK SCORE],C11)&gt;0,"Governance (" &amp; COUNTIFS(RISK_table[Workstream],"Governance",RISK_table[New RISK SCORE],C11) &amp; "/" &amp; COUNTIF(RISK_table[Workstream],"Governance") &amp; ")", ""),
    IF(COUNTIFS(RISK_table[Workstream],"Health &amp; Safety",RISK_table[New RISK SCORE],C11)&gt;0,"Health &amp; Safety (" &amp; COUNTIFS(RISK_table[Workstream],"Health &amp; Safety",RISK_table[New RISK SCORE],C11) &amp; "/" &amp; COUNTIF(RISK_table[Workstream],"Health &amp; Safety") &amp; ")", ""),
    IF(COUNTIFS(RISK_table[Workstream],"Procurement",RISK_table[New RISK SCORE],C11)&gt;0,"Procurement (" &amp; COUNTIFS(RISK_table[Workstream],"Procurement",RISK_table[New RISK SCORE],C11) &amp; "/" &amp; COUNTIF(RISK_table[Workstream],"Procurement") &amp; ")", ""),
    IF(COUNTIFS(RISK_table[Workstream],"Programme",RISK_table[New RISK SCORE],C11)&gt;0,"Programme (" &amp; COUNTIFS(RISK_table[Workstream],"Programme",RISK_table[New RISK SCORE],C11) &amp; "/" &amp; COUNTIF(RISK_table[Workstream],"Programme") &amp; ")", ""),
    IF(COUNTIFS(RISK_table[Workstream],"Regulatory",RISK_table[New RISK SCORE],C11)&gt;0,"Regulatory (" &amp; COUNTIFS(RISK_table[Workstream],"Regulatory",RISK_table[New RISK SCORE],C11) &amp; "/" &amp; COUNTIF(RISK_table[Workstream],"Regulatory") &amp; ")", ""),
    IF(COUNTIFS(RISK_table[Workstream],"Resourcing",RISK_table[New RISK SCORE],C11)&gt;0,"Resourcing (" &amp; COUNTIFS(RISK_table[Workstream],"Resourcing",RISK_table[New RISK SCORE],C11) &amp; "/" &amp; COUNTIF(RISK_table[Workstream],"Resourcing") &amp; ")", ""),
    IF(COUNTIFS(RISK_table[Workstream],"Safety",RISK_table[New RISK SCORE],C11)&gt;0,"Safety (" &amp; COUNTIFS(RISK_table[Workstream],"Safety",RISK_table[New RISK SCORE],C11) &amp; "/" &amp; COUNTIF(RISK_table[Workstream],"Safety") &amp; ")", ""),
    IF(COUNTIFS(RISK_table[Workstream],"Social Value",RISK_table[New RISK SCORE],C11)&gt;0,"Social Value (" &amp; COUNTIFS(RISK_table[Workstream],"Social Value",RISK_table[New RISK SCORE],C11) &amp; "/" &amp; COUNTIF(RISK_table[Workstream],"Social Value") &amp; ")", ""),
    IF(COUNTIFS(RISK_table[Workstream],"Strategic",RISK_table[New RISK SCORE],C11)&gt;0,"Strategic (" &amp; COUNTIFS(RISK_table[Workstream],"Strategic",RISK_table[New RISK SCORE],C11) &amp; "/" &amp; COUNTIF(RISK_table[Workstream],"Strategic") &amp; ")", ""),
    IF(COUNTIFS(RISK_table[Workstream],"Supply Chain",RISK_table[New RISK SCORE],C11)&gt;0,"Supply Chain (" &amp; COUNTIFS(RISK_table[Workstream],"Supply Chain",RISK_table[New RISK SCORE],C11) &amp; "/" &amp; COUNTIF(RISK_table[Workstream],"Supply Chain") &amp; ")", ""),
    IF(COUNTIFS(RISK_table[Workstream],"Technical",RISK_table[New RISK SCORE],C11)&gt;0,"Technical (" &amp; COUNTIFS(RISK_table[Workstream],"Technical",RISK_table[New RISK SCORE],C11) &amp; "/" &amp; COUNTIF(RISK_table[Workstream],"Technical") &amp; ")", "")
  )
)</f>
        <v>No Risks In This Category</v>
      </c>
      <c r="F11" s="685"/>
      <c r="G11" s="686"/>
      <c r="I11" s="473" t="s">
        <v>42</v>
      </c>
      <c r="J11" s="466">
        <f>COUNTIF(RISK_table[Current Status],I11)</f>
        <v>0</v>
      </c>
      <c r="K11" s="685"/>
      <c r="L11" s="686"/>
      <c r="N11" s="736"/>
      <c r="O11" s="737"/>
      <c r="P11" s="738"/>
      <c r="R11" s="490" t="s">
        <v>1478</v>
      </c>
      <c r="S11" s="465" cm="1">
        <f t="array" aca="1" ref="S11" ca="1">SUMPRODUCT((RISK_table[Date Added to Risk Register]&lt;&gt;"")*(RISK_table[Current Status]&lt;&gt;"Closed")*(DATEDIF(RISK_table[Date Added to Risk Register],TODAY(),"m")&gt;=12)*(DATEDIF(RISK_table[Date Added to Risk Register],TODAY(),"m")&lt;24))</f>
        <v>0</v>
      </c>
      <c r="T11" s="747"/>
      <c r="U11" s="738"/>
      <c r="V11" s="408"/>
    </row>
    <row r="12" spans="1:24" ht="173.1" customHeight="1" thickBot="1">
      <c r="A12" s="677"/>
      <c r="C12" s="470" t="s">
        <v>58</v>
      </c>
      <c r="D12" s="480">
        <f>COUNTIF(RISK_table[New RISK SCORE],C12)</f>
        <v>16</v>
      </c>
      <c r="E12" s="472" t="str" cm="1">
        <f t="array" ref="E12">IF(
  SUM(COUNTIFS(RISK_table[Workstream],
    {"Compliance","Environmental","Financial","GLA Compliance","Governance","Health &amp; Safety","Procurement","Programme","Regulatory","Resourcing","Safety","Social Value","Strategic","Supply Chain","Technical"},
    RISK_table[New RISK SCORE], C12))=0,
  "No Risks In This Category",
  _xlfn.TEXTJOIN(", ", TRUE,
    IF(COUNTIFS(RISK_table[Workstream],"Compliance",RISK_table[New RISK SCORE],C12)&gt;0,"Compliance (" &amp; COUNTIFS(RISK_table[Workstream],"Compliance",RISK_table[New RISK SCORE],C12) &amp; "/" &amp; COUNTIF(RISK_table[Workstream],"Compliance") &amp; ")", ""),
    IF(COUNTIFS(RISK_table[Workstream],"Environmental",RISK_table[New RISK SCORE],C12)&gt;0,"Environmental (" &amp; COUNTIFS(RISK_table[Workstream],"Environmental",RISK_table[New RISK SCORE],C12) &amp; "/" &amp; COUNTIF(RISK_table[Workstream],"Environmental") &amp; ")", ""),
    IF(COUNTIFS(RISK_table[Workstream],"Financial",RISK_table[New RISK SCORE],C12)&gt;0,"Financial (" &amp; COUNTIFS(RISK_table[Workstream],"Financial",RISK_table[New RISK SCORE],C12) &amp; "/" &amp; COUNTIF(RISK_table[Workstream],"Financial") &amp; ")", ""),
    IF(COUNTIFS(RISK_table[Workstream],"GLA Compliance",RISK_table[New RISK SCORE],C12)&gt;0,"GLA Compliance (" &amp; COUNTIFS(RISK_table[Workstream],"GLA Compliance",RISK_table[New RISK SCORE],C12) &amp; "/" &amp; COUNTIF(RISK_table[Workstream],"GLA Compliance") &amp; ")", ""),
    IF(COUNTIFS(RISK_table[Workstream],"Governance",RISK_table[New RISK SCORE],C12)&gt;0,"Governance (" &amp; COUNTIFS(RISK_table[Workstream],"Governance",RISK_table[New RISK SCORE],C12) &amp; "/" &amp; COUNTIF(RISK_table[Workstream],"Governance") &amp; ")", ""),
    IF(COUNTIFS(RISK_table[Workstream],"Health &amp; Safety",RISK_table[New RISK SCORE],C12)&gt;0,"Health &amp; Safety (" &amp; COUNTIFS(RISK_table[Workstream],"Health &amp; Safety",RISK_table[New RISK SCORE],C12) &amp; "/" &amp; COUNTIF(RISK_table[Workstream],"Health &amp; Safety") &amp; ")", ""),
    IF(COUNTIFS(RISK_table[Workstream],"Procurement",RISK_table[New RISK SCORE],C12)&gt;0,"Procurement (" &amp; COUNTIFS(RISK_table[Workstream],"Procurement",RISK_table[New RISK SCORE],C12) &amp; "/" &amp; COUNTIF(RISK_table[Workstream],"Procurement") &amp; ")", ""),
    IF(COUNTIFS(RISK_table[Workstream],"Programme",RISK_table[New RISK SCORE],C12)&gt;0,"Programme (" &amp; COUNTIFS(RISK_table[Workstream],"Programme",RISK_table[New RISK SCORE],C12) &amp; "/" &amp; COUNTIF(RISK_table[Workstream],"Programme") &amp; ")", ""),
    IF(COUNTIFS(RISK_table[Workstream],"Regulatory",RISK_table[New RISK SCORE],C12)&gt;0,"Regulatory (" &amp; COUNTIFS(RISK_table[Workstream],"Regulatory",RISK_table[New RISK SCORE],C12) &amp; "/" &amp; COUNTIF(RISK_table[Workstream],"Regulatory") &amp; ")", ""),
    IF(COUNTIFS(RISK_table[Workstream],"Resourcing",RISK_table[New RISK SCORE],C12)&gt;0,"Resourcing (" &amp; COUNTIFS(RISK_table[Workstream],"Resourcing",RISK_table[New RISK SCORE],C12) &amp; "/" &amp; COUNTIF(RISK_table[Workstream],"Resourcing") &amp; ")", ""),
    IF(COUNTIFS(RISK_table[Workstream],"Safety",RISK_table[New RISK SCORE],C12)&gt;0,"Safety (" &amp; COUNTIFS(RISK_table[Workstream],"Safety",RISK_table[New RISK SCORE],C12) &amp; "/" &amp; COUNTIF(RISK_table[Workstream],"Safety") &amp; ")", ""),
    IF(COUNTIFS(RISK_table[Workstream],"Social Value",RISK_table[New RISK SCORE],C12)&gt;0,"Social Value (" &amp; COUNTIFS(RISK_table[Workstream],"Social Value",RISK_table[New RISK SCORE],C12) &amp; "/" &amp; COUNTIF(RISK_table[Workstream],"Social Value") &amp; ")", ""),
    IF(COUNTIFS(RISK_table[Workstream],"Strategic",RISK_table[New RISK SCORE],C12)&gt;0,"Strategic (" &amp; COUNTIFS(RISK_table[Workstream],"Strategic",RISK_table[New RISK SCORE],C12) &amp; "/" &amp; COUNTIF(RISK_table[Workstream],"Strategic") &amp; ")", ""),
    IF(COUNTIFS(RISK_table[Workstream],"Supply Chain",RISK_table[New RISK SCORE],C12)&gt;0,"Supply Chain (" &amp; COUNTIFS(RISK_table[Workstream],"Supply Chain",RISK_table[New RISK SCORE],C12) &amp; "/" &amp; COUNTIF(RISK_table[Workstream],"Supply Chain") &amp; ")", ""),
    IF(COUNTIFS(RISK_table[Workstream],"Technical",RISK_table[New RISK SCORE],C12)&gt;0,"Technical (" &amp; COUNTIFS(RISK_table[Workstream],"Technical",RISK_table[New RISK SCORE],C12) &amp; "/" &amp; COUNTIF(RISK_table[Workstream],"Technical") &amp; ")", "")
  )
)</f>
        <v>Resourcing (4/4)</v>
      </c>
      <c r="F12" s="698"/>
      <c r="G12" s="689"/>
      <c r="I12" s="474" t="s">
        <v>46</v>
      </c>
      <c r="J12" s="472">
        <f>COUNTIF(RISK_table[Current Status],I12)</f>
        <v>0</v>
      </c>
      <c r="K12" s="698"/>
      <c r="L12" s="689"/>
      <c r="N12" s="739"/>
      <c r="O12" s="740"/>
      <c r="P12" s="741"/>
      <c r="R12" s="491" t="s">
        <v>1484</v>
      </c>
      <c r="S12" s="480" cm="1">
        <f t="array" aca="1" ref="S12" ca="1">SUMPRODUCT((RISK_table[Date Added to Risk Register]&lt;&gt;"")*(RISK_table[Current Status]&lt;&gt;"Closed")*(DATEDIF(RISK_table[Date Added to Risk Register],TODAY(),"m")&gt;=24))</f>
        <v>0</v>
      </c>
      <c r="T12" s="748"/>
      <c r="U12" s="741"/>
      <c r="V12" s="408"/>
    </row>
    <row r="13" spans="1:24" ht="37.35" customHeight="1" thickBot="1">
      <c r="A13" s="678"/>
      <c r="B13" s="411"/>
      <c r="C13" s="412"/>
      <c r="D13" s="413"/>
      <c r="E13" s="413"/>
      <c r="F13" s="413"/>
      <c r="G13" s="412"/>
      <c r="H13" s="412"/>
      <c r="I13" s="414"/>
      <c r="J13" s="413"/>
      <c r="K13" s="411"/>
      <c r="L13" s="411"/>
      <c r="M13" s="411"/>
      <c r="N13" s="411"/>
      <c r="O13" s="411"/>
      <c r="P13" s="411"/>
      <c r="Q13" s="411"/>
      <c r="R13" s="411"/>
      <c r="S13" s="411"/>
      <c r="T13" s="411"/>
      <c r="U13" s="411"/>
      <c r="V13" s="415"/>
    </row>
    <row r="14" spans="1:24" ht="37.35" customHeight="1" thickBot="1">
      <c r="A14" s="416"/>
      <c r="B14" s="499"/>
      <c r="C14" s="502"/>
      <c r="D14" s="503"/>
      <c r="E14" s="503"/>
      <c r="F14" s="503"/>
      <c r="G14" s="502"/>
      <c r="H14" s="502"/>
      <c r="I14" s="504"/>
      <c r="J14" s="503"/>
      <c r="K14" s="499"/>
      <c r="L14" s="499"/>
      <c r="M14" s="499"/>
      <c r="N14" s="499"/>
      <c r="O14" s="499"/>
      <c r="P14" s="499"/>
      <c r="Q14" s="499"/>
      <c r="R14" s="499"/>
      <c r="S14" s="499"/>
      <c r="T14" s="499"/>
      <c r="U14" s="499"/>
      <c r="V14" s="499"/>
    </row>
    <row r="15" spans="1:24" ht="37.35" customHeight="1" thickBot="1">
      <c r="A15" s="676" t="s">
        <v>1490</v>
      </c>
      <c r="B15" s="406"/>
      <c r="C15" s="431"/>
      <c r="D15" s="432"/>
      <c r="E15" s="432"/>
      <c r="F15" s="432"/>
      <c r="G15" s="431"/>
      <c r="H15" s="431"/>
      <c r="I15" s="433"/>
      <c r="J15" s="432"/>
      <c r="K15" s="406"/>
      <c r="L15" s="406"/>
      <c r="M15" s="406"/>
      <c r="N15" s="406"/>
      <c r="O15" s="406"/>
      <c r="P15" s="406"/>
      <c r="Q15" s="406"/>
      <c r="R15" s="406"/>
      <c r="S15" s="406"/>
      <c r="T15" s="406"/>
      <c r="U15" s="406"/>
      <c r="V15" s="407"/>
    </row>
    <row r="16" spans="1:24" ht="37.35" customHeight="1">
      <c r="A16" s="677"/>
      <c r="C16" s="783" t="s">
        <v>1300</v>
      </c>
      <c r="D16" s="784"/>
      <c r="E16" s="784"/>
      <c r="F16" s="679" t="s">
        <v>1138</v>
      </c>
      <c r="G16" s="680"/>
      <c r="H16" s="417"/>
      <c r="I16" s="690" t="s">
        <v>1302</v>
      </c>
      <c r="J16" s="692"/>
      <c r="K16" s="679" t="s">
        <v>1138</v>
      </c>
      <c r="L16" s="680"/>
      <c r="N16" s="742" t="s">
        <v>1488</v>
      </c>
      <c r="O16" s="743"/>
      <c r="P16" s="749" t="s">
        <v>1482</v>
      </c>
      <c r="Q16" s="749"/>
      <c r="R16" s="749"/>
      <c r="S16" s="749"/>
      <c r="T16" s="749"/>
      <c r="U16" s="750"/>
      <c r="V16" s="409"/>
    </row>
    <row r="17" spans="1:22" ht="158.1" customHeight="1" thickBot="1">
      <c r="A17" s="677"/>
      <c r="C17" s="785"/>
      <c r="D17" s="712"/>
      <c r="E17" s="712"/>
      <c r="F17" s="681"/>
      <c r="G17" s="682"/>
      <c r="H17" s="417"/>
      <c r="I17" s="693"/>
      <c r="J17" s="695"/>
      <c r="K17" s="696"/>
      <c r="L17" s="697"/>
      <c r="N17" s="744"/>
      <c r="O17" s="745"/>
      <c r="P17" s="776"/>
      <c r="Q17" s="776"/>
      <c r="R17" s="776"/>
      <c r="S17" s="776"/>
      <c r="T17" s="776"/>
      <c r="U17" s="777"/>
      <c r="V17" s="409"/>
    </row>
    <row r="18" spans="1:22" ht="166.5" customHeight="1">
      <c r="A18" s="677"/>
      <c r="C18" s="785"/>
      <c r="D18" s="712"/>
      <c r="E18" s="712"/>
      <c r="F18" s="683"/>
      <c r="G18" s="684"/>
      <c r="H18" s="417"/>
      <c r="I18" s="471" t="s">
        <v>1033</v>
      </c>
      <c r="J18" s="463" t="s">
        <v>1034</v>
      </c>
      <c r="K18" s="685"/>
      <c r="L18" s="686"/>
      <c r="N18" s="489" t="s">
        <v>1480</v>
      </c>
      <c r="O18" s="481" t="s">
        <v>1481</v>
      </c>
      <c r="P18" s="747"/>
      <c r="Q18" s="737"/>
      <c r="R18" s="737"/>
      <c r="S18" s="737"/>
      <c r="T18" s="737"/>
      <c r="U18" s="738"/>
      <c r="V18" s="409"/>
    </row>
    <row r="19" spans="1:22" ht="144.6" customHeight="1">
      <c r="A19" s="677"/>
      <c r="C19" s="785"/>
      <c r="D19" s="712"/>
      <c r="E19" s="712"/>
      <c r="F19" s="685"/>
      <c r="G19" s="686"/>
      <c r="H19" s="417"/>
      <c r="I19" s="473" t="s">
        <v>261</v>
      </c>
      <c r="J19" s="466">
        <v>1</v>
      </c>
      <c r="K19" s="685"/>
      <c r="L19" s="686"/>
      <c r="N19" s="490" t="s">
        <v>1483</v>
      </c>
      <c r="O19" s="465" cm="1">
        <f t="array" aca="1" ref="O19" ca="1">SUMPRODUCT(
 --ISNUMBER(Issues_table[Date Added to Issues Log]),
 --(Issues_table[Status]&lt;&gt;"4. Resolved"),
 --(Issues_table[Status]&lt;&gt;"5. Unassigned"),
 --(Issues_table[Date Added to Issues Log]&gt;=EDATE(TODAY(),-3)),
 --(Issues_table[Date Added to Issues Log]&lt;=TODAY())
)</f>
        <v>0</v>
      </c>
      <c r="P19" s="747"/>
      <c r="Q19" s="737"/>
      <c r="R19" s="737"/>
      <c r="S19" s="737"/>
      <c r="T19" s="737"/>
      <c r="U19" s="738"/>
      <c r="V19" s="409"/>
    </row>
    <row r="20" spans="1:22" ht="144.6" customHeight="1" thickBot="1">
      <c r="A20" s="677"/>
      <c r="C20" s="461" t="s">
        <v>1301</v>
      </c>
      <c r="D20" s="699" t="s">
        <v>1034</v>
      </c>
      <c r="E20" s="700"/>
      <c r="F20" s="687"/>
      <c r="G20" s="686"/>
      <c r="H20" s="417"/>
      <c r="I20" s="473" t="s">
        <v>102</v>
      </c>
      <c r="J20" s="466">
        <f>COUNTIF(Issues_table[Status],I20)</f>
        <v>0</v>
      </c>
      <c r="K20" s="685"/>
      <c r="L20" s="686"/>
      <c r="N20" s="490" t="s">
        <v>1476</v>
      </c>
      <c r="O20" s="465" cm="1">
        <f t="array" aca="1" ref="O20" ca="1">SUMPRODUCT(
 --ISNUMBER(Issues_table[Date Added to Issues Log]),
 --(Issues_table[Status]&lt;&gt;"4. Resolved"),
 --(Issues_table[Status]&lt;&gt;"5. Unassigned"),
 --(Issues_table[Date Added to Issues Log]&gt;=EDATE(TODAY(),-6)),
 --(Issues_table[Date Added to Issues Log]&lt;EDATE(TODAY(),-3))
)</f>
        <v>0</v>
      </c>
      <c r="P20" s="747"/>
      <c r="Q20" s="737"/>
      <c r="R20" s="737"/>
      <c r="S20" s="737"/>
      <c r="T20" s="737"/>
      <c r="U20" s="738"/>
      <c r="V20" s="409"/>
    </row>
    <row r="21" spans="1:22" ht="144.6" customHeight="1" thickBot="1">
      <c r="A21" s="677"/>
      <c r="C21" s="492" t="s">
        <v>247</v>
      </c>
      <c r="D21" s="701">
        <f>COUNTIF(Issues_table[ISSUE SCORE],C21)</f>
        <v>0</v>
      </c>
      <c r="E21" s="702"/>
      <c r="F21" s="687"/>
      <c r="G21" s="686"/>
      <c r="H21" s="417"/>
      <c r="I21" s="473" t="s">
        <v>96</v>
      </c>
      <c r="J21" s="466">
        <f>COUNTIF(Issues_table[Status],I21)</f>
        <v>0</v>
      </c>
      <c r="K21" s="685"/>
      <c r="L21" s="686"/>
      <c r="N21" s="490" t="s">
        <v>1477</v>
      </c>
      <c r="O21" s="465" cm="1">
        <f t="array" aca="1" ref="O21" ca="1">SUMPRODUCT(
 --ISNUMBER(Issues_table[Date Added to Issues Log]),
 --(Issues_table[Status]&lt;&gt;"4. Resolved"),
 --(Issues_table[Status]&lt;&gt;"5. Unassigned"),
 --(Issues_table[Date Added to Issues Log]&gt;=EDATE(TODAY(),-12)),
 --(Issues_table[Date Added to Issues Log]&lt;EDATE(TODAY(),-6))
)</f>
        <v>0</v>
      </c>
      <c r="P21" s="747"/>
      <c r="Q21" s="737"/>
      <c r="R21" s="737"/>
      <c r="S21" s="737"/>
      <c r="T21" s="737"/>
      <c r="U21" s="738"/>
      <c r="V21" s="409"/>
    </row>
    <row r="22" spans="1:22" ht="144.6" customHeight="1" thickBot="1">
      <c r="A22" s="677"/>
      <c r="C22" s="493" t="s">
        <v>141</v>
      </c>
      <c r="D22" s="701">
        <f>COUNTIF(Issues_table[ISSUE SCORE],C22)</f>
        <v>0</v>
      </c>
      <c r="E22" s="702"/>
      <c r="F22" s="687"/>
      <c r="G22" s="686"/>
      <c r="H22" s="417"/>
      <c r="I22" s="473" t="s">
        <v>95</v>
      </c>
      <c r="J22" s="466">
        <f>COUNTIF(Issues_table[Status],I22)</f>
        <v>0</v>
      </c>
      <c r="K22" s="685"/>
      <c r="L22" s="686"/>
      <c r="N22" s="490" t="s">
        <v>1478</v>
      </c>
      <c r="O22" s="465" cm="1">
        <f t="array" aca="1" ref="O22" ca="1">SUMPRODUCT(
 --ISNUMBER(Issues_table[Date Added to Issues Log]),
 --(Issues_table[Status]&lt;&gt;"4. Resolved"),
 --(Issues_table[Status]&lt;&gt;"5. Unassigned"),
 --(Issues_table[Date Added to Issues Log]&gt;=EDATE(TODAY(),-24)),
 --(Issues_table[Date Added to Issues Log]&lt;EDATE(TODAY(),-12))
)</f>
        <v>0</v>
      </c>
      <c r="P22" s="747"/>
      <c r="Q22" s="737"/>
      <c r="R22" s="737"/>
      <c r="S22" s="737"/>
      <c r="T22" s="737"/>
      <c r="U22" s="738"/>
      <c r="V22" s="409"/>
    </row>
    <row r="23" spans="1:22" ht="144.6" customHeight="1" thickBot="1">
      <c r="A23" s="677"/>
      <c r="C23" s="494" t="s">
        <v>248</v>
      </c>
      <c r="D23" s="701">
        <f>COUNTIF(Issues_table[ISSUE SCORE],C23)</f>
        <v>4</v>
      </c>
      <c r="E23" s="702"/>
      <c r="F23" s="688"/>
      <c r="G23" s="689"/>
      <c r="H23" s="417"/>
      <c r="I23" s="474" t="s">
        <v>271</v>
      </c>
      <c r="J23" s="472">
        <v>1</v>
      </c>
      <c r="K23" s="698"/>
      <c r="L23" s="689"/>
      <c r="N23" s="491" t="s">
        <v>1484</v>
      </c>
      <c r="O23" s="480" cm="1">
        <f t="array" aca="1" ref="O23" ca="1">SUMPRODUCT(
 --ISNUMBER(Issues_table[Date Added to Issues Log]),
 --(Issues_table[Status]&lt;&gt;"4. Resolved"),
 --(Issues_table[Status]&lt;&gt;"5. Unassigned"),
 --(Issues_table[Date Added to Issues Log]&lt;EDATE(TODAY(),-24))
)</f>
        <v>0</v>
      </c>
      <c r="P23" s="748"/>
      <c r="Q23" s="740"/>
      <c r="R23" s="740"/>
      <c r="S23" s="740"/>
      <c r="T23" s="740"/>
      <c r="U23" s="741"/>
      <c r="V23" s="409"/>
    </row>
    <row r="24" spans="1:22" ht="37.35" customHeight="1">
      <c r="A24" s="677"/>
      <c r="C24" s="417"/>
      <c r="D24" s="418"/>
      <c r="E24" s="418"/>
      <c r="F24" s="418"/>
      <c r="G24" s="417"/>
      <c r="H24" s="417"/>
      <c r="I24" s="430"/>
      <c r="J24" s="418"/>
      <c r="V24" s="409"/>
    </row>
    <row r="25" spans="1:22" ht="37.35" customHeight="1" thickBot="1">
      <c r="A25" s="678"/>
      <c r="B25" s="410"/>
      <c r="C25" s="434"/>
      <c r="D25" s="435"/>
      <c r="E25" s="435"/>
      <c r="F25" s="435"/>
      <c r="G25" s="434"/>
      <c r="H25" s="434"/>
      <c r="I25" s="436"/>
      <c r="J25" s="435"/>
      <c r="K25" s="410"/>
      <c r="L25" s="410"/>
      <c r="M25" s="410"/>
      <c r="N25" s="410"/>
      <c r="O25" s="410"/>
      <c r="P25" s="410"/>
      <c r="Q25" s="410"/>
      <c r="R25" s="410"/>
      <c r="S25" s="410"/>
      <c r="T25" s="410"/>
      <c r="U25" s="410"/>
      <c r="V25" s="367"/>
    </row>
    <row r="26" spans="1:22" ht="37.5" customHeight="1" thickBot="1">
      <c r="A26" s="416"/>
      <c r="B26" s="499"/>
      <c r="C26" s="501"/>
      <c r="D26" s="502"/>
      <c r="E26" s="503"/>
      <c r="F26" s="503"/>
      <c r="G26" s="503"/>
      <c r="H26" s="502"/>
      <c r="I26" s="500"/>
      <c r="J26" s="499"/>
      <c r="K26" s="499"/>
      <c r="L26" s="499"/>
      <c r="M26" s="499"/>
      <c r="N26" s="499"/>
      <c r="O26" s="499"/>
      <c r="P26" s="499"/>
      <c r="Q26" s="499"/>
      <c r="R26" s="499"/>
      <c r="S26" s="499"/>
      <c r="T26" s="499"/>
      <c r="U26" s="499"/>
      <c r="V26" s="499"/>
    </row>
    <row r="27" spans="1:22" ht="37.5" customHeight="1" thickTop="1" thickBot="1">
      <c r="A27" s="703" t="s">
        <v>1125</v>
      </c>
      <c r="B27" s="402"/>
      <c r="C27" s="402"/>
      <c r="D27" s="402"/>
      <c r="E27" s="402"/>
      <c r="F27" s="402"/>
      <c r="G27" s="419"/>
      <c r="H27" s="402"/>
      <c r="I27" s="420"/>
      <c r="J27" s="402"/>
      <c r="K27" s="402"/>
      <c r="L27" s="402"/>
      <c r="M27" s="402"/>
      <c r="N27" s="402"/>
      <c r="O27" s="402"/>
      <c r="P27" s="402"/>
      <c r="Q27" s="402"/>
      <c r="R27" s="402"/>
      <c r="S27" s="402"/>
      <c r="T27" s="402"/>
      <c r="U27" s="402"/>
      <c r="V27" s="405"/>
    </row>
    <row r="28" spans="1:22" ht="196.5" customHeight="1">
      <c r="A28" s="704"/>
      <c r="C28" s="712" t="s">
        <v>1032</v>
      </c>
      <c r="D28" s="712"/>
      <c r="E28" s="712"/>
      <c r="F28" s="679" t="s">
        <v>1138</v>
      </c>
      <c r="G28" s="680"/>
      <c r="I28" s="780" t="s">
        <v>1139</v>
      </c>
      <c r="J28" s="781"/>
      <c r="K28" s="781"/>
      <c r="L28" s="782"/>
      <c r="M28" s="484"/>
      <c r="O28"/>
      <c r="P28"/>
      <c r="Q28"/>
      <c r="R28"/>
      <c r="S28"/>
      <c r="T28"/>
      <c r="U28"/>
      <c r="V28" s="408"/>
    </row>
    <row r="29" spans="1:22" ht="196.5" customHeight="1" thickBot="1">
      <c r="A29" s="704"/>
      <c r="C29" s="712"/>
      <c r="D29" s="712"/>
      <c r="E29" s="712"/>
      <c r="F29" s="696"/>
      <c r="G29" s="697"/>
      <c r="I29" s="471" t="s">
        <v>323</v>
      </c>
      <c r="J29" s="496" t="s">
        <v>279</v>
      </c>
      <c r="K29" s="497" t="s">
        <v>352</v>
      </c>
      <c r="L29" s="497" t="s">
        <v>275</v>
      </c>
      <c r="M29" s="483"/>
      <c r="N29" s="482"/>
      <c r="O29"/>
      <c r="P29"/>
      <c r="Q29"/>
      <c r="R29"/>
      <c r="S29"/>
      <c r="T29"/>
      <c r="U29"/>
      <c r="V29" s="408"/>
    </row>
    <row r="30" spans="1:22" ht="196.5" customHeight="1">
      <c r="A30" s="704"/>
      <c r="C30" s="721" t="s">
        <v>1033</v>
      </c>
      <c r="D30" s="721" t="s">
        <v>1034</v>
      </c>
      <c r="E30" s="721" t="s">
        <v>1035</v>
      </c>
      <c r="F30" s="683"/>
      <c r="G30" s="684"/>
      <c r="I30" s="473" t="s">
        <v>1320</v>
      </c>
      <c r="J30" s="487" t="e">
        <f>COUNTIFS(#REF!,I30,#REF!,$J$29)</f>
        <v>#REF!</v>
      </c>
      <c r="K30" s="488" t="e">
        <f>COUNTIFS(#REF!,I30,#REF!,$K$29)</f>
        <v>#REF!</v>
      </c>
      <c r="L30" s="505" t="e">
        <f>COUNTIFS(#REF!,I30,#REF!,$L$29)</f>
        <v>#REF!</v>
      </c>
      <c r="M30"/>
      <c r="O30"/>
      <c r="P30"/>
      <c r="Q30"/>
      <c r="R30"/>
      <c r="S30"/>
      <c r="T30"/>
      <c r="U30"/>
      <c r="V30" s="408"/>
    </row>
    <row r="31" spans="1:22" ht="196.5" customHeight="1">
      <c r="A31" s="704"/>
      <c r="C31" s="721"/>
      <c r="D31" s="721"/>
      <c r="E31" s="721"/>
      <c r="F31" s="685"/>
      <c r="G31" s="686"/>
      <c r="I31" s="473" t="s">
        <v>1314</v>
      </c>
      <c r="J31" s="487" t="e">
        <f>COUNTIFS(#REF!,I31,#REF!,$J$29)</f>
        <v>#REF!</v>
      </c>
      <c r="K31" s="488" t="e">
        <f>COUNTIFS(#REF!,I31,#REF!,$K$29)</f>
        <v>#REF!</v>
      </c>
      <c r="L31" s="505" t="e">
        <f>COUNTIFS(#REF!,I31,#REF!,$L$29)</f>
        <v>#REF!</v>
      </c>
      <c r="M31"/>
      <c r="O31"/>
      <c r="P31"/>
      <c r="Q31"/>
      <c r="R31"/>
      <c r="S31"/>
      <c r="T31"/>
      <c r="U31"/>
      <c r="V31" s="408"/>
    </row>
    <row r="32" spans="1:22" ht="196.5" customHeight="1">
      <c r="A32" s="704"/>
      <c r="C32" s="557" t="s">
        <v>1325</v>
      </c>
      <c r="D32" s="465" t="e">
        <f>COUNTIF(#REF!,"Red")</f>
        <v>#REF!</v>
      </c>
      <c r="E32" s="465" t="e" cm="1">
        <f t="array" ref="E32">IF(
  SUM(COUNTIFS(#REF!,
    {"Compliance","Environmental","Financial","GLA Compliance","Governance","Health &amp; Safety","Procurement","Programme","Regulatory","Resourcing","Safety","Social Value","Strategic","Supply Chain","Technical"},#REF!,
    "Red"))=0,
  "No Metrics In This Category",
  _xlfn.TEXTJOIN(", ",TRUE,
    IF(COUNTIFS(#REF!,"Compliance",#REF!,"Red")&gt;0,"Compliance (" &amp; COUNTIFS(#REF!,"Compliance",#REF!,"Red") &amp; "/" &amp; COUNTIF(#REF!,"Compliance") &amp; ")", ""),
    IF(COUNTIFS(#REF!,"Environmental",#REF!,"Red")&gt;0,"Environmental (" &amp; COUNTIFS(#REF!,"Environmental",#REF!,"Red") &amp; "/" &amp; COUNTIF(#REF!,"Environmental") &amp; ")", ""),
    IF(COUNTIFS(#REF!,"Financial",#REF!,"Red")&gt;0,"Financial (" &amp; COUNTIFS(#REF!,"Financial",#REF!,"Red") &amp; "/" &amp; COUNTIF(#REF!,"Financial") &amp; ")", ""),
    IF(COUNTIFS(#REF!,"GLA Compliance",#REF!,"Red")&gt;0,"GLA Compliance (" &amp; COUNTIFS(#REF!,"GLA Compliance",#REF!,"Red") &amp; "/" &amp; COUNTIF(#REF!,"GLA Compliance") &amp; ")", ""),
    IF(COUNTIFS(#REF!,"Governance",#REF!,"Red")&gt;0,"Governance (" &amp; COUNTIFS(#REF!,"Governance",#REF!,"Red") &amp; "/" &amp; COUNTIF(#REF!,"Governance") &amp; ")", ""),
    IF(COUNTIFS(#REF!,"Health &amp; Safety",#REF!,"Red")&gt;0,"Health &amp; Safety (" &amp; COUNTIFS(#REF!,"Health &amp; Safety",#REF!,"Red") &amp; "/" &amp; COUNTIF(#REF!,"Health &amp; Safety") &amp; ")", ""),
    IF(COUNTIFS(#REF!,"Procurement",#REF!,"Red")&gt;0,"Procurement (" &amp; COUNTIFS(#REF!,"Procurement",#REF!,"Red") &amp; "/" &amp; COUNTIF(#REF!,"Procurement") &amp; ")", ""),
    IF(COUNTIFS(#REF!,"Programme",#REF!,"Red")&gt;0,"Programme (" &amp; COUNTIFS(#REF!,"Programme",#REF!,"Red") &amp; "/" &amp; COUNTIF(#REF!,"Programme") &amp; ")", ""),
    IF(COUNTIFS(#REF!,"Regulatory",#REF!,"Red")&gt;0,"Regulatory (" &amp; COUNTIFS(#REF!,"Regulatory",#REF!,"Red") &amp; "/" &amp; COUNTIF(#REF!,"Regulatory") &amp; ")", ""),
    IF(COUNTIFS(#REF!,"Resourcing",#REF!,"Red")&gt;0,"Resourcing (" &amp; COUNTIFS(#REF!,"Resourcing",#REF!,"Red") &amp; "/" &amp; COUNTIF(#REF!,"Resourcing") &amp; ")", ""),
    IF(COUNTIFS(#REF!,"Safety",#REF!,"Red")&gt;0,"Safety (" &amp; COUNTIFS(#REF!,"Safety",#REF!,"Red") &amp; "/" &amp; COUNTIF(#REF!,"Safety") &amp; ")", ""),
    IF(COUNTIFS(#REF!,"Social Value",#REF!,"Red")&gt;0,"Social Value (" &amp; COUNTIFS(#REF!,"Social Value",#REF!,"Red") &amp; "/" &amp; COUNTIF(#REF!,"Social Value") &amp; ")", ""),
    IF(COUNTIFS(#REF!,"Strategic",#REF!,"Red")&gt;0,"Strategic (" &amp; COUNTIFS(#REF!,"Strategic",#REF!,"Red") &amp; "/" &amp; COUNTIF(#REF!,"Strategic") &amp; ")", ""),
    IF(COUNTIFS(#REF!,"Supply Chain",#REF!,"Red")&gt;0,"Supply Chain (" &amp; COUNTIFS(#REF!,"Supply Chain",#REF!,"Red") &amp; "/" &amp; COUNTIF(#REF!,"Supply Chain") &amp; ")", ""),
    IF(COUNTIFS(#REF!,"Technical",#REF!,"Red")&gt;0,"Technical (" &amp; COUNTIFS(#REF!,"Technical",#REF!,"Red") &amp; "/" &amp; COUNTIF(#REF!,"Technical") &amp; ")", "")
  )
)</f>
        <v>#REF!</v>
      </c>
      <c r="F32" s="685"/>
      <c r="G32" s="686"/>
      <c r="I32" s="473" t="s">
        <v>1316</v>
      </c>
      <c r="J32" s="487" t="e">
        <f>COUNTIFS(#REF!,I32,#REF!,$J$29)</f>
        <v>#REF!</v>
      </c>
      <c r="K32" s="488" t="e">
        <f>COUNTIFS(#REF!,I32,#REF!,$K$29)</f>
        <v>#REF!</v>
      </c>
      <c r="L32" s="505" t="e">
        <f>COUNTIFS(#REF!,I32,#REF!,$L$29)</f>
        <v>#REF!</v>
      </c>
      <c r="M32"/>
      <c r="O32"/>
      <c r="P32"/>
      <c r="Q32"/>
      <c r="R32"/>
      <c r="S32"/>
      <c r="T32"/>
      <c r="U32"/>
      <c r="V32" s="408"/>
    </row>
    <row r="33" spans="1:36" ht="196.5" customHeight="1">
      <c r="A33" s="704"/>
      <c r="C33" s="558" t="s">
        <v>1326</v>
      </c>
      <c r="D33" s="465" t="e">
        <f>COUNTIF(#REF!,"Amber")</f>
        <v>#REF!</v>
      </c>
      <c r="E33" s="465" t="e" cm="1">
        <f t="array" ref="E33">IF(
  SUM(COUNTIFS(#REF!,
    {"Compliance","Environmental","Financial","GLA Compliance","Governance","Health &amp; Safety","Procurement","Programme","Regulatory","Resourcing","Safety","Social Value","Strategic","Supply Chain","Technical"},#REF!,
    "Amber"))=0,
  "No Metrics In This Category",
  _xlfn.TEXTJOIN(", ",TRUE,
    IF(COUNTIFS(#REF!,"Compliance",#REF!,"Amber")&gt;0,"Compliance (" &amp; COUNTIFS(#REF!,"Compliance",#REF!,"Amber") &amp; "/" &amp; COUNTIF(#REF!,"Compliance") &amp; ")", ""),
    IF(COUNTIFS(#REF!,"Environmental",#REF!,"Amber")&gt;0,"Environmental (" &amp; COUNTIFS(#REF!,"Environmental",#REF!,"Amber") &amp; "/" &amp; COUNTIF(#REF!,"Environmental") &amp; ")", ""),
    IF(COUNTIFS(#REF!,"Financial",#REF!,"Amber")&gt;0,"Financial (" &amp; COUNTIFS(#REF!,"Financial",#REF!,"Amber") &amp; "/" &amp; COUNTIF(#REF!,"Financial") &amp; ")", ""),
    IF(COUNTIFS(#REF!,"GLA Compliance",#REF!,"Amber")&gt;0,"GLA Compliance (" &amp; COUNTIFS(#REF!,"GLA Compliance",#REF!,"Amber") &amp; "/" &amp; COUNTIF(#REF!,"GLA Compliance") &amp; ")", ""),
    IF(COUNTIFS(#REF!,"Governance",#REF!,"Amber")&gt;0,"Governance (" &amp; COUNTIFS(#REF!,"Governance",#REF!,"Amber") &amp; "/" &amp; COUNTIF(#REF!,"Governance") &amp; ")", ""),
    IF(COUNTIFS(#REF!,"Health &amp; Safety",#REF!,"Amber")&gt;0,"Health &amp; Safety (" &amp; COUNTIFS(#REF!,"Health &amp; Safety",#REF!,"Amber") &amp; "/" &amp; COUNTIF(#REF!,"Health &amp; Safety") &amp; ")", ""),
    IF(COUNTIFS(#REF!,"Procurement",#REF!,"Amber")&gt;0,"Procurement (" &amp; COUNTIFS(#REF!,"Procurement",#REF!,"Amber") &amp; "/" &amp; COUNTIF(#REF!,"Procurement") &amp; ")", ""),
    IF(COUNTIFS(#REF!,"Programme",#REF!,"Amber")&gt;0,"Programme (" &amp; COUNTIFS(#REF!,"Programme",#REF!,"Amber") &amp; "/" &amp; COUNTIF(#REF!,"Programme") &amp; ")", ""),
    IF(COUNTIFS(#REF!,"Regulatory",#REF!,"Amber")&gt;0,"Regulatory (" &amp; COUNTIFS(#REF!,"Regulatory",#REF!,"Amber") &amp; "/" &amp; COUNTIF(#REF!,"Regulatory") &amp; ")", ""),
    IF(COUNTIFS(#REF!,"Resourcing",#REF!,"Amber")&gt;0,"Resourcing (" &amp; COUNTIFS(#REF!,"Resourcing",#REF!,"Amber") &amp; "/" &amp; COUNTIF(#REF!,"Resourcing") &amp; ")", ""),
    IF(COUNTIFS(#REF!,"Safety",#REF!,"Amber")&gt;0,"Safety (" &amp; COUNTIFS(#REF!,"Safety",#REF!,"Amber") &amp; "/" &amp; COUNTIF(#REF!,"Safety") &amp; ")", ""),
    IF(COUNTIFS(#REF!,"Social Value",#REF!,"Amber")&gt;0,"Social Value (" &amp; COUNTIFS(#REF!,"Social Value",#REF!,"Amber") &amp; "/" &amp; COUNTIF(#REF!,"Social Value") &amp; ")", ""),
    IF(COUNTIFS(#REF!,"Strategic",#REF!,"Amber")&gt;0,"Strategic (" &amp; COUNTIFS(#REF!,"Strategic",#REF!,"Amber") &amp; "/" &amp; COUNTIF(#REF!,"Strategic") &amp; ")", ""),
    IF(COUNTIFS(#REF!,"Supply Chain",#REF!,"Amber")&gt;0,"Supply Chain (" &amp; COUNTIFS(#REF!,"Supply Chain",#REF!,"Amber") &amp; "/" &amp; COUNTIF(#REF!,"Supply Chain") &amp; ")", ""),
    IF(COUNTIFS(#REF!,"Technical",#REF!,"Amber")&gt;0,"Technical (" &amp; COUNTIFS(#REF!,"Technical",#REF!,"Amber") &amp; "/" &amp; COUNTIF(#REF!,"Technical") &amp; ")", "")
  )
)</f>
        <v>#REF!</v>
      </c>
      <c r="F33" s="685"/>
      <c r="G33" s="686"/>
      <c r="I33" s="473" t="s">
        <v>1318</v>
      </c>
      <c r="J33" s="487" t="e">
        <f>COUNTIFS(#REF!,I33,#REF!,$J$29)</f>
        <v>#REF!</v>
      </c>
      <c r="K33" s="488" t="e">
        <f>COUNTIFS(#REF!,I33,#REF!,$K$29)</f>
        <v>#REF!</v>
      </c>
      <c r="L33" s="505" t="e">
        <f>COUNTIFS(#REF!,I33,#REF!,$L$29)</f>
        <v>#REF!</v>
      </c>
      <c r="M33"/>
      <c r="O33"/>
      <c r="P33"/>
      <c r="Q33"/>
      <c r="R33"/>
      <c r="S33"/>
      <c r="T33"/>
      <c r="U33"/>
      <c r="V33" s="408"/>
    </row>
    <row r="34" spans="1:36" ht="196.5" customHeight="1" thickBot="1">
      <c r="A34" s="704"/>
      <c r="C34" s="559" t="s">
        <v>1327</v>
      </c>
      <c r="D34" s="465" t="e">
        <f>COUNTIF(#REF!,"Green")</f>
        <v>#REF!</v>
      </c>
      <c r="E34" s="465" t="e" cm="1">
        <f t="array" ref="E34">IF(
  SUM(COUNTIFS(#REF!,
    {"Compliance","Environmental","Financial","GLA Compliance","Governance","Health &amp; Safety","Procurement","Programme","Regulatory","Resourcing","Safety","Social Value","Strategic","Supply Chain","Technical"},#REF!,
    "Green"))=0,
  "No Metrics In This Category",
  _xlfn.TEXTJOIN(", ",TRUE,
    IF(COUNTIFS(#REF!,"Compliance",#REF!,"Green")&gt;0,"Compliance (" &amp; COUNTIFS(#REF!,"Compliance",#REF!,"Green") &amp; "/" &amp; COUNTIF(#REF!,"Compliance") &amp; ")", ""),
    IF(COUNTIFS(#REF!,"Environmental",#REF!,"Green")&gt;0,"Environmental (" &amp; COUNTIFS(#REF!,"Environmental",#REF!,"Green") &amp; "/" &amp; COUNTIF(#REF!,"Environmental") &amp; ")", ""),
    IF(COUNTIFS(#REF!,"Financial",#REF!,"Green")&gt;0,"Financial (" &amp; COUNTIFS(#REF!,"Financial",#REF!,"Green") &amp; "/" &amp; COUNTIF(#REF!,"Financial") &amp; ")", ""),
    IF(COUNTIFS(#REF!,"GLA Compliance",#REF!,"Green")&gt;0,"GLA Compliance (" &amp; COUNTIFS(#REF!,"GLA Compliance",#REF!,"Green") &amp; "/" &amp; COUNTIF(#REF!,"GLA Compliance") &amp; ")", ""),
    IF(COUNTIFS(#REF!,"Governance",#REF!,"Green")&gt;0,"Governance (" &amp; COUNTIFS(#REF!,"Governance",#REF!,"Green") &amp; "/" &amp; COUNTIF(#REF!,"Governance") &amp; ")", ""),
    IF(COUNTIFS(#REF!,"Health &amp; Safety",#REF!,"Green")&gt;0,"Health &amp; Safety (" &amp; COUNTIFS(#REF!,"Health &amp; Safety",#REF!,"Green") &amp; "/" &amp; COUNTIF(#REF!,"Health &amp; Safety") &amp; ")", ""),
    IF(COUNTIFS(#REF!,"Procurement",#REF!,"Green")&gt;0,"Procurement (" &amp; COUNTIFS(#REF!,"Procurement",#REF!,"Green") &amp; "/" &amp; COUNTIF(#REF!,"Procurement") &amp; ")", ""),
    IF(COUNTIFS(#REF!,"Programme",#REF!,"Green")&gt;0,"Programme (" &amp; COUNTIFS(#REF!,"Programme",#REF!,"Green") &amp; "/" &amp; COUNTIF(#REF!,"Programme") &amp; ")", ""),
    IF(COUNTIFS(#REF!,"Regulatory",#REF!,"Green")&gt;0,"Regulatory (" &amp; COUNTIFS(#REF!,"Regulatory",#REF!,"Green") &amp; "/" &amp; COUNTIF(#REF!,"Regulatory") &amp; ")", ""),
    IF(COUNTIFS(#REF!,"Resourcing",#REF!,"Green")&gt;0,"Resourcing (" &amp; COUNTIFS(#REF!,"Resourcing",#REF!,"Green") &amp; "/" &amp; COUNTIF(#REF!,"Resourcing") &amp; ")", ""),
    IF(COUNTIFS(#REF!,"Safety",#REF!,"Green")&gt;0,"Safety (" &amp; COUNTIFS(#REF!,"Safety",#REF!,"Green") &amp; "/" &amp; COUNTIF(#REF!,"Safety") &amp; ")", ""),
    IF(COUNTIFS(#REF!,"Social Value",#REF!,"Green")&gt;0,"Social Value (" &amp; COUNTIFS(#REF!,"Social Value",#REF!,"Green") &amp; "/" &amp; COUNTIF(#REF!,"Social Value") &amp; ")", ""),
    IF(COUNTIFS(#REF!,"Strategic",#REF!,"Green")&gt;0,"Strategic (" &amp; COUNTIFS(#REF!,"Strategic",#REF!,"Green") &amp; "/" &amp; COUNTIF(#REF!,"Strategic") &amp; ")", ""),
    IF(COUNTIFS(#REF!,"Supply Chain",#REF!,"Green")&gt;0,"Supply Chain (" &amp; COUNTIFS(#REF!,"Supply Chain",#REF!,"Green") &amp; "/" &amp; COUNTIF(#REF!,"Supply Chain") &amp; ")", ""),
    IF(COUNTIFS(#REF!,"Technical",#REF!,"Green")&gt;0,"Technical (" &amp; COUNTIFS(#REF!,"Technical",#REF!,"Green") &amp; "/" &amp; COUNTIF(#REF!,"Technical") &amp; ")", "")
  )
)</f>
        <v>#REF!</v>
      </c>
      <c r="F34" s="698"/>
      <c r="G34" s="689"/>
      <c r="I34" s="473" t="s">
        <v>1308</v>
      </c>
      <c r="J34" s="487" t="e">
        <f>COUNTIFS(#REF!,I34,#REF!,$J$29)</f>
        <v>#REF!</v>
      </c>
      <c r="K34" s="488" t="e">
        <f>COUNTIFS(#REF!,I34,#REF!,$K$29)</f>
        <v>#REF!</v>
      </c>
      <c r="L34" s="505" t="e">
        <f>COUNTIFS(#REF!,I34,#REF!,$L$29)</f>
        <v>#REF!</v>
      </c>
      <c r="M34"/>
      <c r="O34"/>
      <c r="P34"/>
      <c r="Q34"/>
      <c r="R34"/>
      <c r="S34"/>
      <c r="T34"/>
      <c r="U34"/>
      <c r="V34" s="408"/>
    </row>
    <row r="35" spans="1:36" ht="196.5" customHeight="1" thickBot="1">
      <c r="A35" s="704"/>
      <c r="F35"/>
      <c r="G35"/>
      <c r="I35" s="473" t="s">
        <v>1310</v>
      </c>
      <c r="J35" s="487" t="e">
        <f>COUNTIFS(#REF!,I35,#REF!,$J$29)</f>
        <v>#REF!</v>
      </c>
      <c r="K35" s="488" t="e">
        <f>COUNTIFS(#REF!,I35,#REF!,$K$29)</f>
        <v>#REF!</v>
      </c>
      <c r="L35" s="505" t="e">
        <f>COUNTIFS(#REF!,I35,#REF!,$L$29)</f>
        <v>#REF!</v>
      </c>
      <c r="M35"/>
      <c r="O35"/>
      <c r="P35"/>
      <c r="Q35"/>
      <c r="R35"/>
      <c r="S35"/>
      <c r="T35"/>
      <c r="U35"/>
      <c r="V35" s="408"/>
    </row>
    <row r="36" spans="1:36" ht="196.5" customHeight="1">
      <c r="A36" s="704"/>
      <c r="C36" s="690" t="s">
        <v>1144</v>
      </c>
      <c r="D36" s="691"/>
      <c r="E36" s="691"/>
      <c r="F36" s="691"/>
      <c r="G36" s="692"/>
      <c r="I36" s="473" t="s">
        <v>1223</v>
      </c>
      <c r="J36" s="487" t="e">
        <f>COUNTIFS(#REF!,I36,#REF!,$J$29)</f>
        <v>#REF!</v>
      </c>
      <c r="K36" s="488" t="e">
        <f>COUNTIFS(#REF!,I36,#REF!,$K$29)</f>
        <v>#REF!</v>
      </c>
      <c r="L36" s="505" t="e">
        <f>COUNTIFS(#REF!,I36,#REF!,$L$29)</f>
        <v>#REF!</v>
      </c>
      <c r="M36"/>
      <c r="O36"/>
      <c r="P36"/>
      <c r="Q36"/>
      <c r="R36"/>
      <c r="S36"/>
      <c r="T36"/>
      <c r="U36"/>
      <c r="V36" s="408"/>
      <c r="Z36" s="421"/>
      <c r="AA36" s="421"/>
      <c r="AB36" s="422"/>
      <c r="AE36" s="421"/>
      <c r="AF36" s="421"/>
      <c r="AG36" s="423"/>
      <c r="AH36" s="422"/>
    </row>
    <row r="37" spans="1:36" ht="196.5" customHeight="1" thickBot="1">
      <c r="A37" s="704"/>
      <c r="C37" s="722"/>
      <c r="D37" s="723"/>
      <c r="E37" s="723"/>
      <c r="F37" s="723"/>
      <c r="G37" s="724"/>
      <c r="I37" s="473" t="s">
        <v>1351</v>
      </c>
      <c r="J37" s="487" t="e">
        <f>COUNTIFS(#REF!,I37,#REF!,$J$29)</f>
        <v>#REF!</v>
      </c>
      <c r="K37" s="488" t="e">
        <f>COUNTIFS(#REF!,I37,#REF!,$K$29)</f>
        <v>#REF!</v>
      </c>
      <c r="L37" s="505" t="e">
        <f>COUNTIFS(#REF!,I37,#REF!,$L$29)</f>
        <v>#REF!</v>
      </c>
      <c r="M37"/>
      <c r="O37"/>
      <c r="P37"/>
      <c r="Q37"/>
      <c r="R37"/>
      <c r="S37"/>
      <c r="T37"/>
      <c r="U37"/>
      <c r="V37" s="408"/>
      <c r="Z37" s="421"/>
      <c r="AA37" s="421"/>
      <c r="AB37" s="422"/>
      <c r="AE37" s="421"/>
      <c r="AF37" s="421"/>
      <c r="AG37" s="423"/>
      <c r="AH37" s="422"/>
    </row>
    <row r="38" spans="1:36" ht="196.5" customHeight="1">
      <c r="A38" s="704"/>
      <c r="C38" s="713" t="s">
        <v>1143</v>
      </c>
      <c r="D38" s="714"/>
      <c r="E38" s="714"/>
      <c r="F38" s="717">
        <f>COUNTA(#REF!)</f>
        <v>1</v>
      </c>
      <c r="G38" s="718"/>
      <c r="I38" s="473" t="s">
        <v>1355</v>
      </c>
      <c r="J38" s="487" t="e">
        <f>COUNTIFS(#REF!,I38,#REF!,$J$29)</f>
        <v>#REF!</v>
      </c>
      <c r="K38" s="488" t="e">
        <f>COUNTIFS(#REF!,I38,#REF!,$K$29)</f>
        <v>#REF!</v>
      </c>
      <c r="L38" s="505" t="e">
        <f>COUNTIFS(#REF!,I38,#REF!,$L$29)</f>
        <v>#REF!</v>
      </c>
      <c r="M38"/>
      <c r="O38"/>
      <c r="P38"/>
      <c r="Q38"/>
      <c r="R38"/>
      <c r="S38"/>
      <c r="T38"/>
      <c r="U38"/>
      <c r="V38" s="408"/>
      <c r="Z38" s="421"/>
      <c r="AA38" s="421"/>
      <c r="AB38" s="422"/>
      <c r="AE38" s="421"/>
      <c r="AF38" s="421"/>
      <c r="AG38" s="423"/>
      <c r="AH38" s="422"/>
    </row>
    <row r="39" spans="1:36" ht="196.5" customHeight="1" thickBot="1">
      <c r="A39" s="704"/>
      <c r="C39" s="715"/>
      <c r="D39" s="716"/>
      <c r="E39" s="716"/>
      <c r="F39" s="719"/>
      <c r="G39" s="720"/>
      <c r="I39" s="474" t="s">
        <v>1329</v>
      </c>
      <c r="J39" s="487" t="e">
        <f>COUNTIFS(#REF!,I39,#REF!,$J$29)</f>
        <v>#REF!</v>
      </c>
      <c r="K39" s="488" t="e">
        <f>COUNTIFS(#REF!,I39,#REF!,$K$29)</f>
        <v>#REF!</v>
      </c>
      <c r="L39" s="505" t="e">
        <f>COUNTIFS(#REF!,I39,#REF!,$L$29)</f>
        <v>#REF!</v>
      </c>
      <c r="M39"/>
      <c r="O39"/>
      <c r="P39"/>
      <c r="Q39"/>
      <c r="R39"/>
      <c r="S39"/>
      <c r="T39"/>
      <c r="U39"/>
      <c r="V39" s="408"/>
      <c r="Z39" s="421"/>
      <c r="AA39" s="421"/>
      <c r="AB39" s="422"/>
      <c r="AE39" s="421"/>
      <c r="AF39" s="421"/>
      <c r="AG39" s="423"/>
      <c r="AH39" s="422"/>
    </row>
    <row r="40" spans="1:36" ht="37.35" customHeight="1" thickBot="1">
      <c r="A40" s="705"/>
      <c r="B40" s="411"/>
      <c r="C40" s="424"/>
      <c r="D40" s="425"/>
      <c r="E40" s="426"/>
      <c r="F40" s="413"/>
      <c r="G40" s="411"/>
      <c r="H40" s="411"/>
      <c r="I40" s="427"/>
      <c r="J40" s="411"/>
      <c r="K40" s="411"/>
      <c r="L40" s="411"/>
      <c r="M40" s="411"/>
      <c r="N40" s="411"/>
      <c r="O40" s="428"/>
      <c r="P40" s="411"/>
      <c r="Q40" s="411"/>
      <c r="R40" s="411"/>
      <c r="S40" s="411"/>
      <c r="T40" s="411"/>
      <c r="U40" s="411"/>
      <c r="V40" s="415"/>
      <c r="Z40" s="421"/>
      <c r="AA40" s="421"/>
      <c r="AB40" s="422"/>
      <c r="AE40" s="421"/>
      <c r="AF40" s="421"/>
      <c r="AG40" s="423"/>
      <c r="AH40" s="422"/>
    </row>
    <row r="41" spans="1:36" ht="38.1" customHeight="1" thickTop="1" thickBot="1">
      <c r="A41" s="429"/>
      <c r="B41" s="499"/>
      <c r="C41" s="499"/>
      <c r="D41" s="499"/>
      <c r="E41" s="499"/>
      <c r="F41" s="499"/>
      <c r="G41" s="499"/>
      <c r="H41" s="499"/>
      <c r="I41" s="500"/>
      <c r="J41" s="499"/>
      <c r="K41" s="499"/>
      <c r="L41" s="499"/>
      <c r="M41" s="499"/>
      <c r="N41" s="499"/>
      <c r="O41" s="499"/>
      <c r="P41" s="499"/>
      <c r="Q41" s="499"/>
      <c r="R41" s="499"/>
      <c r="S41" s="499"/>
      <c r="T41" s="499"/>
      <c r="U41" s="499"/>
      <c r="V41" s="499"/>
    </row>
    <row r="42" spans="1:36" ht="38.1" customHeight="1" thickTop="1" thickBot="1">
      <c r="A42" s="703" t="s">
        <v>1126</v>
      </c>
      <c r="B42" s="402"/>
      <c r="C42" s="402"/>
      <c r="D42" s="402"/>
      <c r="E42" s="402"/>
      <c r="F42" s="402"/>
      <c r="G42" s="402"/>
      <c r="H42" s="402"/>
      <c r="I42" s="420"/>
      <c r="J42" s="402"/>
      <c r="K42" s="402"/>
      <c r="L42" s="402"/>
      <c r="M42" s="402"/>
      <c r="N42" s="402"/>
      <c r="O42" s="402"/>
      <c r="P42" s="402"/>
      <c r="Q42" s="402"/>
      <c r="R42" s="402"/>
      <c r="S42" s="402"/>
      <c r="T42" s="402"/>
      <c r="U42" s="402"/>
      <c r="V42" s="405"/>
    </row>
    <row r="43" spans="1:36" ht="50.1" customHeight="1">
      <c r="A43" s="704"/>
      <c r="C43" s="690" t="s">
        <v>1124</v>
      </c>
      <c r="D43" s="691"/>
      <c r="E43" s="691"/>
      <c r="F43" s="679" t="s">
        <v>1138</v>
      </c>
      <c r="G43" s="680"/>
      <c r="I43" s="690" t="s">
        <v>1142</v>
      </c>
      <c r="J43" s="691"/>
      <c r="K43" s="691"/>
      <c r="L43" s="692"/>
      <c r="M43" s="440" t="s">
        <v>1141</v>
      </c>
      <c r="N43" s="541"/>
      <c r="O43" s="542"/>
      <c r="P43" s="542"/>
      <c r="Q43" s="542"/>
      <c r="R43" s="542"/>
      <c r="S43" s="542"/>
      <c r="T43" s="542"/>
      <c r="U43" s="543"/>
      <c r="V43" s="408"/>
    </row>
    <row r="44" spans="1:36" ht="164.1" customHeight="1">
      <c r="A44" s="704"/>
      <c r="C44" s="722"/>
      <c r="D44" s="723"/>
      <c r="E44" s="723"/>
      <c r="F44" s="681"/>
      <c r="G44" s="682"/>
      <c r="I44" s="693"/>
      <c r="J44" s="694"/>
      <c r="K44" s="694"/>
      <c r="L44" s="695"/>
      <c r="M44" s="440"/>
      <c r="N44" s="544"/>
      <c r="O44" s="545"/>
      <c r="P44" s="545"/>
      <c r="Q44" s="545"/>
      <c r="R44" s="545"/>
      <c r="S44" s="545"/>
      <c r="T44" s="545"/>
      <c r="U44" s="546"/>
      <c r="V44" s="408"/>
    </row>
    <row r="45" spans="1:36" ht="168.6" customHeight="1">
      <c r="A45" s="704"/>
      <c r="C45" s="722"/>
      <c r="D45" s="723"/>
      <c r="E45" s="723"/>
      <c r="F45" s="681"/>
      <c r="G45" s="682"/>
      <c r="I45" s="471" t="s">
        <v>471</v>
      </c>
      <c r="J45" s="496" t="s">
        <v>342</v>
      </c>
      <c r="K45" s="496" t="s">
        <v>1140</v>
      </c>
      <c r="L45" s="463" t="s">
        <v>94</v>
      </c>
      <c r="M45" s="440"/>
      <c r="N45" s="544"/>
      <c r="O45" s="545"/>
      <c r="P45" s="545"/>
      <c r="Q45" s="545"/>
      <c r="R45" s="545"/>
      <c r="S45" s="545"/>
      <c r="T45" s="545"/>
      <c r="U45" s="546"/>
      <c r="V45" s="408"/>
      <c r="AH45" s="553" t="s">
        <v>471</v>
      </c>
      <c r="AI45" s="554" t="s">
        <v>342</v>
      </c>
      <c r="AJ45" s="554" t="s">
        <v>1140</v>
      </c>
    </row>
    <row r="46" spans="1:36" ht="107.55" customHeight="1">
      <c r="A46" s="704"/>
      <c r="C46" s="693"/>
      <c r="D46" s="694"/>
      <c r="E46" s="694"/>
      <c r="F46" s="778"/>
      <c r="G46" s="779"/>
      <c r="I46" s="506" t="str" cm="1">
        <f t="array" ref="I46:I57">_xlfn.UNIQUE(_xlfn._xlws.FILTER(KPI_monthly[KPI Name], (KPI_monthly[KPI Name] &lt;&gt; "") * (KPI_monthly[KPI Name] &lt;&gt; 0)))</f>
        <v>Cost Forecast Accuracy</v>
      </c>
      <c r="J46" s="538" t="str">
        <f>IF(I46&lt;&gt;"",IF(_xlfn.XLOOKUP(I46,KPI_monthly[KPI Name],KPI_monthly[Current Value])&lt;&gt;"",_xlfn.XLOOKUP(I46,KPI_monthly[KPI Name],KPI_monthly[Current Value]),0%),"")</f>
        <v>88 %</v>
      </c>
      <c r="K46" s="539" t="str">
        <f>IFERROR(IF(I46&lt;&gt;"",VALUE(SUBSTITUTE(SUBSTITUTE(_xlfn.XLOOKUP(I46,KPI_monthly[KPI Name],KPI_monthly[Green Threshold]),"&gt;",""),"&lt;","")),""),"")</f>
        <v/>
      </c>
      <c r="L46" s="540" t="str">
        <f>IF(I46&lt;&gt;"",_xlfn.XLOOKUP(I46,KPI_monthly[KPI Name],KPI_monthly[Status]),"")</f>
        <v>Red</v>
      </c>
      <c r="M46" s="439"/>
      <c r="N46" s="547"/>
      <c r="O46" s="548"/>
      <c r="P46" s="548"/>
      <c r="Q46" s="548"/>
      <c r="R46" s="548"/>
      <c r="S46" s="548"/>
      <c r="T46" s="548"/>
      <c r="U46" s="549"/>
      <c r="V46" s="408"/>
      <c r="AH46" s="555" t="str">
        <f>IF(I46&lt;&gt;"", I46, "")</f>
        <v>Cost Forecast Accuracy</v>
      </c>
      <c r="AI46" s="556">
        <f>IFERROR(VALUE(SUBSTITUTE(J46,"%",""))/100,0)</f>
        <v>0.88</v>
      </c>
      <c r="AJ46" s="556" t="str">
        <f>K46</f>
        <v/>
      </c>
    </row>
    <row r="47" spans="1:36" ht="90.75" customHeight="1">
      <c r="A47" s="704"/>
      <c r="C47" s="495" t="s">
        <v>1033</v>
      </c>
      <c r="D47" s="496" t="s">
        <v>1034</v>
      </c>
      <c r="E47" s="496" t="s">
        <v>1035</v>
      </c>
      <c r="F47" s="769"/>
      <c r="G47" s="770"/>
      <c r="I47" s="506" t="str">
        <v>Schedule Forecast Reliability</v>
      </c>
      <c r="J47" s="538" t="str">
        <f>IF(I47&lt;&gt;"",IF(_xlfn.XLOOKUP(I47,KPI_monthly[KPI Name],KPI_monthly[Current Value])&lt;&gt;"",_xlfn.XLOOKUP(I47,KPI_monthly[KPI Name],KPI_monthly[Current Value]),0%),"")</f>
        <v>106 %</v>
      </c>
      <c r="K47" s="539" t="str">
        <f>IFERROR(IF(I47&lt;&gt;"",VALUE(SUBSTITUTE(SUBSTITUTE(_xlfn.XLOOKUP(I47,KPI_monthly[KPI Name],KPI_monthly[Green Threshold]),"&gt;",""),"&lt;","")),""),"")</f>
        <v/>
      </c>
      <c r="L47" s="540" t="str">
        <f>IF(I47&lt;&gt;"",_xlfn.XLOOKUP(I47,KPI_monthly[KPI Name],KPI_monthly[Status]),"")</f>
        <v>Amber</v>
      </c>
      <c r="M47" s="439"/>
      <c r="N47" s="547"/>
      <c r="O47" s="548"/>
      <c r="P47" s="548"/>
      <c r="Q47" s="548"/>
      <c r="R47" s="548"/>
      <c r="S47" s="548"/>
      <c r="T47" s="548"/>
      <c r="U47" s="549"/>
      <c r="V47" s="408"/>
      <c r="AH47" s="555" t="str">
        <f t="shared" ref="AH47:AH68" si="0">IF(I47&lt;&gt;"", I47, "")</f>
        <v>Schedule Forecast Reliability</v>
      </c>
      <c r="AI47" s="556">
        <f t="shared" ref="AI47:AI68" si="1">IFERROR(VALUE(SUBSTITUTE(J47,"%",""))/100,0)</f>
        <v>1.06</v>
      </c>
      <c r="AJ47" s="556" t="str">
        <f t="shared" ref="AJ47:AJ68" si="2">K47</f>
        <v/>
      </c>
    </row>
    <row r="48" spans="1:36" ht="135" customHeight="1">
      <c r="A48" s="704"/>
      <c r="C48" s="706" t="s">
        <v>1485</v>
      </c>
      <c r="D48" s="708">
        <f>COUNTIF(KPI_monthly[Status], "Red")</f>
        <v>2</v>
      </c>
      <c r="E48" s="708" t="str" cm="1">
        <f t="array" ref="E48">IF(
  SUM(COUNTIFS(KPI_monthly[Objectives],
    {"Deliver Projects on Time &amp; Budget","Deliver Quality Homes","Regulatory Compliance","Governance &amp; Compliance","Stakeholder Confidence","Deliver Projects Sustainably","Deliver projects according to original agreed outcomes"},
    KPI_monthly[Status],"Red"))=0,
  "No Metrics In This Category",
  _xlfn.TEXTJOIN(", ",TRUE,
    IF(COUNTIFS(KPI_monthly[Objectives],"Deliver Projects on Time &amp; Budget",KPI_monthly[Status],"Red")&gt;0,"Deliver Projects on Time &amp; Budget (" &amp; COUNTIFS(KPI_monthly[Objectives],"Deliver Projects on Time &amp; Budget",KPI_monthly[Status],"Red") &amp; "/" &amp; COUNTIF(KPI_monthly[Objectives],"Deliver Projects on Time &amp; Budget") &amp; ")", ""),
    IF(COUNTIFS(KPI_monthly[Objectives],"Deliver Quality Homes",KPI_monthly[Status],"Red")&gt;0,"Deliver Quality Homes (" &amp; COUNTIFS(KPI_monthly[Objectives],"Deliver Quality Homes",KPI_monthly[Status],"Red") &amp; "/" &amp; COUNTIF(KPI_monthly[Objectives],"Deliver Quality Homes") &amp; ")", ""),
    IF(COUNTIFS(KPI_monthly[Objectives],"Regulatory Compliance",KPI_monthly[Status],"Red")&gt;0,"Regulatory Compliance (" &amp; COUNTIFS(KPI_monthly[Objectives],"Regulatory Compliance",KPI_monthly[Status],"Red") &amp; "/" &amp; COUNTIF(KPI_monthly[Objectives],"Regulatory Compliance") &amp; ")", ""),
    IF(COUNTIFS(KPI_monthly[Objectives],"Governance &amp; Compliance",KPI_monthly[Status],"Red")&gt;0,"Governance &amp; Compliance (" &amp; COUNTIFS(KPI_monthly[Objectives],"Governance &amp; Compliance",KPI_monthly[Status],"Red") &amp; "/" &amp; COUNTIF(KPI_monthly[Objectives],"Governance &amp; Compliance") &amp; ")", ""),
    IF(COUNTIFS(KPI_monthly[Objectives],"Stakeholder Confidence",KPI_monthly[Status],"Red")&gt;0,"Stakeholder Confidence (" &amp; COUNTIFS(KPI_monthly[Objectives],"Stakeholder Confidence",KPI_monthly[Status],"Red") &amp; "/" &amp; COUNTIF(KPI_monthly[Objectives],"Stakeholder Confidence") &amp; ")", ""),
    IF(COUNTIFS(KPI_monthly[Objectives],"Deliver Projects Sustainably",KPI_monthly[Status],"Red")&gt;0,"Deliver Projects Sustainably (" &amp; COUNTIFS(KPI_monthly[Objectives],"Deliver Projects Sustainably",KPI_monthly[Status],"Red") &amp; "/" &amp; COUNTIF(KPI_monthly[Objectives],"Deliver Projects Sustainably") &amp; ")", ""),
    IF(COUNTIFS(KPI_monthly[Objectives],"Deliver projects according to original agreed outcomes",KPI_monthly[Status],"Red")&gt;0,"Deliver projects according to original agreed outcomes (" &amp; COUNTIFS(KPI_monthly[Objectives],"Deliver projects according to original agreed outcomes",KPI_monthly[Status],"Red") &amp; "/" &amp; COUNTIF(KPI_monthly[Objectives],"Deliver projects according to original agreed outcomes") &amp; ")", "")
  )
)</f>
        <v>Deliver Projects on Time &amp; Budget (1/6), Deliver Quality Homes (1/3)</v>
      </c>
      <c r="F48" s="771"/>
      <c r="G48" s="686"/>
      <c r="I48" s="506" t="str">
        <v>Change Order Impact</v>
      </c>
      <c r="J48" s="538" t="str">
        <f>IF(I48&lt;&gt;"",IF(_xlfn.XLOOKUP(I48,KPI_monthly[KPI Name],KPI_monthly[Current Value])&lt;&gt;"",_xlfn.XLOOKUP(I48,KPI_monthly[KPI Name],KPI_monthly[Current Value]),0%),"")</f>
        <v>5 %</v>
      </c>
      <c r="K48" s="539">
        <f>IFERROR(IF(I48&lt;&gt;"",VALUE(SUBSTITUTE(SUBSTITUTE(_xlfn.XLOOKUP(I48,KPI_monthly[KPI Name],KPI_monthly[Green Threshold]),"&gt;",""),"&lt;","")),""),"")</f>
        <v>0.05</v>
      </c>
      <c r="L48" s="540" t="str">
        <f>IF(I48&lt;&gt;"",_xlfn.XLOOKUP(I48,KPI_monthly[KPI Name],KPI_monthly[Status]),"")</f>
        <v>Green</v>
      </c>
      <c r="M48" s="439"/>
      <c r="N48" s="547"/>
      <c r="O48" s="548"/>
      <c r="P48" s="548"/>
      <c r="Q48" s="548"/>
      <c r="R48" s="548"/>
      <c r="S48" s="548"/>
      <c r="T48" s="548"/>
      <c r="U48" s="549"/>
      <c r="V48" s="408"/>
      <c r="AH48" s="555" t="str">
        <f t="shared" si="0"/>
        <v>Change Order Impact</v>
      </c>
      <c r="AI48" s="556">
        <f t="shared" si="1"/>
        <v>0.05</v>
      </c>
      <c r="AJ48" s="556">
        <f t="shared" si="2"/>
        <v>0.05</v>
      </c>
    </row>
    <row r="49" spans="1:36" ht="135" customHeight="1">
      <c r="A49" s="704"/>
      <c r="C49" s="707"/>
      <c r="D49" s="709"/>
      <c r="E49" s="709"/>
      <c r="F49" s="771"/>
      <c r="G49" s="686"/>
      <c r="I49" s="506" t="str">
        <v>Budget Performance Rate</v>
      </c>
      <c r="J49" s="538" t="str">
        <f>IF(I49&lt;&gt;"",IF(_xlfn.XLOOKUP(I49,KPI_monthly[KPI Name],KPI_monthly[Current Value])&lt;&gt;"",_xlfn.XLOOKUP(I49,KPI_monthly[KPI Name],KPI_monthly[Current Value]),0%),"")</f>
        <v>80 %</v>
      </c>
      <c r="K49" s="539">
        <f>IFERROR(IF(I49&lt;&gt;"",VALUE(SUBSTITUTE(SUBSTITUTE(_xlfn.XLOOKUP(I49,KPI_monthly[KPI Name],KPI_monthly[Green Threshold]),"&gt;",""),"&lt;","")),""),"")</f>
        <v>0.85</v>
      </c>
      <c r="L49" s="540" t="str">
        <f>IF(I49&lt;&gt;"",_xlfn.XLOOKUP(I49,KPI_monthly[KPI Name],KPI_monthly[Status]),"")</f>
        <v>Amber</v>
      </c>
      <c r="M49" s="439"/>
      <c r="N49" s="547"/>
      <c r="O49" s="548"/>
      <c r="P49" s="548"/>
      <c r="Q49" s="548"/>
      <c r="R49" s="548"/>
      <c r="S49" s="548"/>
      <c r="T49" s="548"/>
      <c r="U49" s="549"/>
      <c r="V49" s="408"/>
      <c r="AH49" s="555" t="str">
        <f t="shared" si="0"/>
        <v>Budget Performance Rate</v>
      </c>
      <c r="AI49" s="556">
        <f t="shared" si="1"/>
        <v>0.8</v>
      </c>
      <c r="AJ49" s="556">
        <f t="shared" si="2"/>
        <v>0.85</v>
      </c>
    </row>
    <row r="50" spans="1:36" ht="135" customHeight="1">
      <c r="A50" s="704"/>
      <c r="C50" s="710" t="s">
        <v>1486</v>
      </c>
      <c r="D50" s="708">
        <f>COUNTIF(KPI_monthly[Status], "Amber")</f>
        <v>2</v>
      </c>
      <c r="E50" s="708" t="str" cm="1">
        <f t="array" ref="E50">IF(
  SUM(COUNTIFS(KPI_monthly[Objectives],
    {"Deliver Projects on Time &amp; Budget","Deliver Quality Homes","Regulatory Compliance","Governance &amp; Compliance","Stakeholder Confidence","Deliver Projects Sustainably","Deliver projects according to original agreed outcomes"},
    KPI_monthly[Status],"Amber"))=0,
  "No Metrics In This Category",
  _xlfn.TEXTJOIN(", ",TRUE,
    IF(COUNTIFS(KPI_monthly[Objectives],"Deliver Projects on Time &amp; Budget",KPI_monthly[Status],"Amber")&gt;0,"Deliver Projects on Time &amp; Budget (" &amp; COUNTIFS(KPI_monthly[Objectives],"Deliver Projects on Time &amp; Budget",KPI_monthly[Status],"Amber") &amp; "/" &amp; COUNTIF(KPI_monthly[Objectives],"Deliver Projects on Time &amp; Budget") &amp; ")", ""),
    IF(COUNTIFS(KPI_monthly[Objectives],"Deliver Quality Homes",KPI_monthly[Status],"Amber")&gt;0,"Deliver Quality Homes (" &amp; COUNTIFS(KPI_monthly[Objectives],"Deliver Quality Homes",KPI_monthly[Status],"Amber") &amp; "/" &amp; COUNTIF(KPI_monthly[Objectives],"Deliver Quality Homes") &amp; ")", ""),
    IF(COUNTIFS(KPI_monthly[Objectives],"Regulatory Compliance",KPI_monthly[Status],"Amber")&gt;0,"Regulatory Compliance (" &amp; COUNTIFS(KPI_monthly[Objectives],"Regulatory Compliance",KPI_monthly[Status],"Amber") &amp; "/" &amp; COUNTIF(KPI_monthly[Objectives],"Regulatory Compliance") &amp; ")", ""),
    IF(COUNTIFS(KPI_monthly[Objectives],"Governance &amp; Compliance",KPI_monthly[Status],"Amber")&gt;0,"Governance &amp; Compliance (" &amp; COUNTIFS(KPI_monthly[Objectives],"Governance &amp; Compliance",KPI_monthly[Status],"Amber") &amp; "/" &amp; COUNTIF(KPI_monthly[Objectives],"Governance &amp; Compliance") &amp; ")", ""),
    IF(COUNTIFS(KPI_monthly[Objectives],"Stakeholder Confidence",KPI_monthly[Status],"Amber")&gt;0,"Stakeholder Confidence (" &amp; COUNTIFS(KPI_monthly[Objectives],"Stakeholder Confidence",KPI_monthly[Status],"Amber") &amp; "/" &amp; COUNTIF(KPI_monthly[Objectives],"Stakeholder Confidence") &amp; ")", ""),
    IF(COUNTIFS(KPI_monthly[Objectives],"Deliver Projects Sustainably",KPI_monthly[Status],"Amber")&gt;0,"Deliver Projects Sustainably (" &amp; COUNTIFS(KPI_monthly[Objectives],"Deliver Projects Sustainably",KPI_monthly[Status],"Amber") &amp; "/" &amp; COUNTIF(KPI_monthly[Objectives],"Deliver Projects Sustainably") &amp; ")", ""),
    IF(COUNTIFS(KPI_monthly[Objectives],"Deliver projects according to original agreed outcomes",KPI_monthly[Status],"Amber")&gt;0,"Deliver projects according to original agreed outcomes (" &amp; COUNTIFS(KPI_monthly[Objectives],"Deliver projects according to original agreed outcomes",KPI_monthly[Status],"Amber") &amp; "/" &amp; COUNTIF(KPI_monthly[Objectives],"Deliver projects according to original agreed outcomes") &amp; ")", "")
  )
)</f>
        <v>Deliver Projects on Time &amp; Budget (2/6)</v>
      </c>
      <c r="F50" s="771"/>
      <c r="G50" s="686"/>
      <c r="I50" s="506" t="str">
        <v>Contingency Management Score</v>
      </c>
      <c r="J50" s="538" t="str">
        <f>IF(I50&lt;&gt;"",IF(_xlfn.XLOOKUP(I50,KPI_monthly[KPI Name],KPI_monthly[Current Value])&lt;&gt;"",_xlfn.XLOOKUP(I50,KPI_monthly[KPI Name],KPI_monthly[Current Value]),0%),"")</f>
        <v>49 %</v>
      </c>
      <c r="K50" s="539">
        <f>IFERROR(IF(I50&lt;&gt;"",VALUE(SUBSTITUTE(SUBSTITUTE(_xlfn.XLOOKUP(I50,KPI_monthly[KPI Name],KPI_monthly[Green Threshold]),"&gt;",""),"&lt;","")),""),"")</f>
        <v>0.4</v>
      </c>
      <c r="L50" s="540" t="str">
        <f>IF(I50&lt;&gt;"",_xlfn.XLOOKUP(I50,KPI_monthly[KPI Name],KPI_monthly[Status]),"")</f>
        <v>Green</v>
      </c>
      <c r="M50" s="439"/>
      <c r="N50" s="547"/>
      <c r="O50" s="548"/>
      <c r="P50" s="548"/>
      <c r="Q50" s="548"/>
      <c r="R50" s="548"/>
      <c r="S50" s="548"/>
      <c r="T50" s="548"/>
      <c r="U50" s="549"/>
      <c r="V50" s="408"/>
      <c r="AH50" s="555" t="str">
        <f t="shared" si="0"/>
        <v>Contingency Management Score</v>
      </c>
      <c r="AI50" s="556">
        <f t="shared" si="1"/>
        <v>0.49</v>
      </c>
      <c r="AJ50" s="556">
        <f t="shared" si="2"/>
        <v>0.4</v>
      </c>
    </row>
    <row r="51" spans="1:36" ht="135" customHeight="1">
      <c r="A51" s="704"/>
      <c r="C51" s="711"/>
      <c r="D51" s="709"/>
      <c r="E51" s="709"/>
      <c r="F51" s="771"/>
      <c r="G51" s="686"/>
      <c r="I51" s="506" t="str">
        <v>Defect Resolution Rate</v>
      </c>
      <c r="J51" s="538" t="str">
        <f>IF(I51&lt;&gt;"",IF(_xlfn.XLOOKUP(I51,KPI_monthly[KPI Name],KPI_monthly[Current Value])&lt;&gt;"",_xlfn.XLOOKUP(I51,KPI_monthly[KPI Name],KPI_monthly[Current Value]),0%),"")</f>
        <v>95 %</v>
      </c>
      <c r="K51" s="539">
        <f>IFERROR(IF(I51&lt;&gt;"",VALUE(SUBSTITUTE(SUBSTITUTE(_xlfn.XLOOKUP(I51,KPI_monthly[KPI Name],KPI_monthly[Green Threshold]),"&gt;",""),"&lt;","")),""),"")</f>
        <v>0.95</v>
      </c>
      <c r="L51" s="540" t="str">
        <f>IF(I51&lt;&gt;"",_xlfn.XLOOKUP(I51,KPI_monthly[KPI Name],KPI_monthly[Status]),"")</f>
        <v>Green</v>
      </c>
      <c r="M51" s="439"/>
      <c r="N51" s="547"/>
      <c r="O51" s="548"/>
      <c r="P51" s="548"/>
      <c r="Q51" s="548"/>
      <c r="R51" s="548"/>
      <c r="S51" s="548"/>
      <c r="T51" s="548"/>
      <c r="U51" s="549"/>
      <c r="V51" s="408"/>
      <c r="AH51" s="555" t="str">
        <f t="shared" si="0"/>
        <v>Defect Resolution Rate</v>
      </c>
      <c r="AI51" s="556">
        <f t="shared" si="1"/>
        <v>0.95</v>
      </c>
      <c r="AJ51" s="556">
        <f t="shared" si="2"/>
        <v>0.95</v>
      </c>
    </row>
    <row r="52" spans="1:36" ht="135" customHeight="1">
      <c r="A52" s="704"/>
      <c r="C52" s="766" t="s">
        <v>1487</v>
      </c>
      <c r="D52" s="708">
        <f>COUNTIF(KPI_monthly[Status], "Green")</f>
        <v>4</v>
      </c>
      <c r="E52" s="708" t="str" cm="1">
        <f t="array" ref="E52">IF(
  SUM(COUNTIFS(KPI_monthly[Objectives],
    {"Deliver Projects on Time &amp; Budget","Deliver Quality Homes","Regulatory Compliance","Governance &amp; Compliance","Stakeholder Confidence","Deliver Projects Sustainably","Deliver projects according to original agreed outcomes"},
    KPI_monthly[Status],"Green"))=0,
  "No Metrics In This Category",
  _xlfn.TEXTJOIN(", ",TRUE,
    IF(COUNTIFS(KPI_monthly[Objectives],"Deliver Projects on Time &amp; Budget",KPI_monthly[Status],"Green")&gt;0,"Deliver Projects on Time &amp; Budget (" &amp; COUNTIFS(KPI_monthly[Objectives],"Deliver Projects on Time &amp; Budget",KPI_monthly[Status],"Green") &amp; "/" &amp; COUNTIF(KPI_monthly[Objectives],"Deliver Projects on Time &amp; Budget") &amp; ")", ""),
    IF(COUNTIFS(KPI_monthly[Objectives],"Deliver Quality Homes",KPI_monthly[Status],"Green")&gt;0,"Deliver Quality Homes (" &amp; COUNTIFS(KPI_monthly[Objectives],"Deliver Quality Homes",KPI_monthly[Status],"Green") &amp; "/" &amp; COUNTIF(KPI_monthly[Objectives],"Deliver Quality Homes") &amp; ")", ""),
    IF(COUNTIFS(KPI_monthly[Objectives],"Regulatory Compliance",KPI_monthly[Status],"Green")&gt;0,"Regulatory Compliance (" &amp; COUNTIFS(KPI_monthly[Objectives],"Regulatory Compliance",KPI_monthly[Status],"Green") &amp; "/" &amp; COUNTIF(KPI_monthly[Objectives],"Regulatory Compliance") &amp; ")", ""),
    IF(COUNTIFS(KPI_monthly[Objectives],"Governance &amp; Compliance",KPI_monthly[Status],"Green")&gt;0,"Governance &amp; Compliance (" &amp; COUNTIFS(KPI_monthly[Objectives],"Governance &amp; Compliance",KPI_monthly[Status],"Green") &amp; "/" &amp; COUNTIF(KPI_monthly[Objectives],"Governance &amp; Compliance") &amp; ")", ""),
    IF(COUNTIFS(KPI_monthly[Objectives],"Stakeholder Confidence",KPI_monthly[Status],"Green")&gt;0,"Stakeholder Confidence (" &amp; COUNTIFS(KPI_monthly[Objectives],"Stakeholder Confidence",KPI_monthly[Status],"Green") &amp; "/" &amp; COUNTIF(KPI_monthly[Objectives],"Stakeholder Confidence") &amp; ")", ""),
    IF(COUNTIFS(KPI_monthly[Objectives],"Deliver Projects Sustainably",KPI_monthly[Status],"Green")&gt;0,"Deliver Projects Sustainably (" &amp; COUNTIFS(KPI_monthly[Objectives],"Deliver Projects Sustainably",KPI_monthly[Status],"Green") &amp; "/" &amp; COUNTIF(KPI_monthly[Objectives],"Deliver Projects Sustainably") &amp; ")", ""),
    IF(COUNTIFS(KPI_monthly[Objectives],"Deliver projects according to original agreed outcomes",KPI_monthly[Status],"Green")&gt;0,"Deliver projects according to original agreed outcomes (" &amp; COUNTIFS(KPI_monthly[Objectives],"Deliver projects according to original agreed outcomes",KPI_monthly[Status],"Green") &amp; "/" &amp; COUNTIF(KPI_monthly[Objectives],"Deliver projects according to original agreed outcomes") &amp; ")", "")
  )
)</f>
        <v>Deliver Projects on Time &amp; Budget (2/6), Deliver Quality Homes (2/3)</v>
      </c>
      <c r="F52" s="771"/>
      <c r="G52" s="686"/>
      <c r="I52" s="506" t="str">
        <v>Quality Assurance Success</v>
      </c>
      <c r="J52" s="538" t="str">
        <f>IF(I52&lt;&gt;"",IF(_xlfn.XLOOKUP(I52,KPI_monthly[KPI Name],KPI_monthly[Current Value])&lt;&gt;"",_xlfn.XLOOKUP(I52,KPI_monthly[KPI Name],KPI_monthly[Current Value]),0%),"")</f>
        <v>50 %</v>
      </c>
      <c r="K52" s="539">
        <f>IFERROR(IF(I52&lt;&gt;"",VALUE(SUBSTITUTE(SUBSTITUTE(_xlfn.XLOOKUP(I52,KPI_monthly[KPI Name],KPI_monthly[Green Threshold]),"&gt;",""),"&lt;","")),""),"")</f>
        <v>0.9</v>
      </c>
      <c r="L52" s="540" t="str">
        <f>IF(I52&lt;&gt;"",_xlfn.XLOOKUP(I52,KPI_monthly[KPI Name],KPI_monthly[Status]),"")</f>
        <v>Red</v>
      </c>
      <c r="M52" s="439"/>
      <c r="N52" s="547"/>
      <c r="O52" s="548"/>
      <c r="P52" s="548"/>
      <c r="Q52" s="548"/>
      <c r="R52" s="548"/>
      <c r="S52" s="548"/>
      <c r="T52" s="548"/>
      <c r="U52" s="549"/>
      <c r="V52" s="408"/>
      <c r="AH52" s="555" t="str">
        <f t="shared" si="0"/>
        <v>Quality Assurance Success</v>
      </c>
      <c r="AI52" s="556">
        <f t="shared" si="1"/>
        <v>0.5</v>
      </c>
      <c r="AJ52" s="556">
        <f t="shared" si="2"/>
        <v>0.9</v>
      </c>
    </row>
    <row r="53" spans="1:36" ht="135" customHeight="1" thickBot="1">
      <c r="A53" s="704"/>
      <c r="C53" s="767"/>
      <c r="D53" s="709"/>
      <c r="E53" s="768"/>
      <c r="F53" s="772"/>
      <c r="G53" s="689"/>
      <c r="I53" s="506" t="str">
        <v>Post-Occupancy Satisfaction</v>
      </c>
      <c r="J53" s="538" t="str">
        <f>IF(I53&lt;&gt;"",IF(_xlfn.XLOOKUP(I53,KPI_monthly[KPI Name],KPI_monthly[Current Value])&lt;&gt;"",_xlfn.XLOOKUP(I53,KPI_monthly[KPI Name],KPI_monthly[Current Value]),0%),"")</f>
        <v>140 %</v>
      </c>
      <c r="K53" s="539">
        <f>IFERROR(IF(I53&lt;&gt;"",VALUE(SUBSTITUTE(SUBSTITUTE(_xlfn.XLOOKUP(I53,KPI_monthly[KPI Name],KPI_monthly[Green Threshold]),"&gt;",""),"&lt;","")),""),"")</f>
        <v>0.8</v>
      </c>
      <c r="L53" s="540" t="str">
        <f>IF(I53&lt;&gt;"",_xlfn.XLOOKUP(I53,KPI_monthly[KPI Name],KPI_monthly[Status]),"")</f>
        <v>Green</v>
      </c>
      <c r="M53" s="439"/>
      <c r="N53" s="547"/>
      <c r="O53" s="548"/>
      <c r="P53" s="548"/>
      <c r="Q53" s="548"/>
      <c r="R53" s="548"/>
      <c r="S53" s="548"/>
      <c r="T53" s="548"/>
      <c r="U53" s="549"/>
      <c r="V53" s="408"/>
      <c r="AH53" s="555" t="str">
        <f t="shared" si="0"/>
        <v>Post-Occupancy Satisfaction</v>
      </c>
      <c r="AI53" s="556">
        <f t="shared" si="1"/>
        <v>1.4</v>
      </c>
      <c r="AJ53" s="556">
        <f t="shared" si="2"/>
        <v>0.8</v>
      </c>
    </row>
    <row r="54" spans="1:36" ht="135" customHeight="1">
      <c r="A54" s="704"/>
      <c r="I54" s="506" t="str">
        <v>Reporting Timeliness</v>
      </c>
      <c r="J54" s="538">
        <f>IF(I54&lt;&gt;"",IF(_xlfn.XLOOKUP(I54,KPI_monthly[KPI Name],KPI_monthly[Current Value])&lt;&gt;"",_xlfn.XLOOKUP(I54,KPI_monthly[KPI Name],KPI_monthly[Current Value]),0%),"")</f>
        <v>0</v>
      </c>
      <c r="K54" s="539">
        <f>IFERROR(IF(I54&lt;&gt;"",VALUE(SUBSTITUTE(SUBSTITUTE(_xlfn.XLOOKUP(I54,KPI_monthly[KPI Name],KPI_monthly[Green Threshold]),"&gt;",""),"&lt;","")),""),"")</f>
        <v>0.95</v>
      </c>
      <c r="L54" s="540">
        <f>IF(I54&lt;&gt;"",_xlfn.XLOOKUP(I54,KPI_monthly[KPI Name],KPI_monthly[Status]),"")</f>
        <v>0</v>
      </c>
      <c r="M54" s="439"/>
      <c r="N54" s="547"/>
      <c r="O54" s="548"/>
      <c r="P54" s="548"/>
      <c r="Q54" s="548"/>
      <c r="R54" s="548"/>
      <c r="S54" s="548"/>
      <c r="T54" s="548"/>
      <c r="U54" s="549"/>
      <c r="V54" s="408"/>
      <c r="AH54" s="555" t="str">
        <f t="shared" si="0"/>
        <v>Reporting Timeliness</v>
      </c>
      <c r="AI54" s="556">
        <f t="shared" si="1"/>
        <v>0</v>
      </c>
      <c r="AJ54" s="556">
        <f t="shared" si="2"/>
        <v>0.95</v>
      </c>
    </row>
    <row r="55" spans="1:36" ht="135" customHeight="1" thickBot="1">
      <c r="A55" s="704"/>
      <c r="I55" s="506" t="str">
        <v>Contractor Performance Index</v>
      </c>
      <c r="J55" s="538">
        <f>IF(I55&lt;&gt;"",IF(_xlfn.XLOOKUP(I55,KPI_monthly[KPI Name],KPI_monthly[Current Value])&lt;&gt;"",_xlfn.XLOOKUP(I55,KPI_monthly[KPI Name],KPI_monthly[Current Value]),0%),"")</f>
        <v>0</v>
      </c>
      <c r="K55" s="539">
        <f>IFERROR(IF(I55&lt;&gt;"",VALUE(SUBSTITUTE(SUBSTITUTE(_xlfn.XLOOKUP(I55,KPI_monthly[KPI Name],KPI_monthly[Green Threshold]),"&gt;",""),"&lt;","")),""),"")</f>
        <v>0.85</v>
      </c>
      <c r="L55" s="540">
        <f>IF(I55&lt;&gt;"",_xlfn.XLOOKUP(I55,KPI_monthly[KPI Name],KPI_monthly[Status]),"")</f>
        <v>0</v>
      </c>
      <c r="M55" s="439"/>
      <c r="N55" s="547"/>
      <c r="O55" s="548"/>
      <c r="P55" s="548"/>
      <c r="Q55" s="548"/>
      <c r="R55" s="548"/>
      <c r="S55" s="548"/>
      <c r="T55" s="548"/>
      <c r="U55" s="549"/>
      <c r="V55" s="408"/>
      <c r="AH55" s="555" t="str">
        <f t="shared" si="0"/>
        <v>Contractor Performance Index</v>
      </c>
      <c r="AI55" s="556">
        <f t="shared" si="1"/>
        <v>0</v>
      </c>
      <c r="AJ55" s="556">
        <f t="shared" si="2"/>
        <v>0.85</v>
      </c>
    </row>
    <row r="56" spans="1:36" ht="135" customHeight="1">
      <c r="A56" s="704"/>
      <c r="C56" s="690" t="s">
        <v>1299</v>
      </c>
      <c r="D56" s="691"/>
      <c r="E56" s="691"/>
      <c r="F56" s="691"/>
      <c r="G56" s="692"/>
      <c r="I56" s="506" t="str">
        <v>Safety Performance Index</v>
      </c>
      <c r="J56" s="538">
        <f>IF(I56&lt;&gt;"",IF(_xlfn.XLOOKUP(I56,KPI_monthly[KPI Name],KPI_monthly[Current Value])&lt;&gt;"",_xlfn.XLOOKUP(I56,KPI_monthly[KPI Name],KPI_monthly[Current Value]),0%),"")</f>
        <v>0</v>
      </c>
      <c r="K56" s="539">
        <f>IFERROR(IF(I56&lt;&gt;"",VALUE(SUBSTITUTE(SUBSTITUTE(_xlfn.XLOOKUP(I56,KPI_monthly[KPI Name],KPI_monthly[Green Threshold]),"&gt;",""),"&lt;","")),""),"")</f>
        <v>0.5</v>
      </c>
      <c r="L56" s="540">
        <f>IF(I56&lt;&gt;"",_xlfn.XLOOKUP(I56,KPI_monthly[KPI Name],KPI_monthly[Status]),"")</f>
        <v>0</v>
      </c>
      <c r="M56" s="439"/>
      <c r="N56" s="547"/>
      <c r="O56" s="548"/>
      <c r="P56" s="548"/>
      <c r="Q56" s="548"/>
      <c r="R56" s="548"/>
      <c r="S56" s="548"/>
      <c r="T56" s="548"/>
      <c r="U56" s="549"/>
      <c r="V56" s="408"/>
      <c r="AH56" s="555" t="str">
        <f t="shared" si="0"/>
        <v>Safety Performance Index</v>
      </c>
      <c r="AI56" s="556">
        <f t="shared" si="1"/>
        <v>0</v>
      </c>
      <c r="AJ56" s="556">
        <f t="shared" si="2"/>
        <v>0.5</v>
      </c>
    </row>
    <row r="57" spans="1:36" ht="135" customHeight="1">
      <c r="A57" s="704"/>
      <c r="C57" s="722"/>
      <c r="D57" s="723"/>
      <c r="E57" s="723"/>
      <c r="F57" s="723"/>
      <c r="G57" s="724"/>
      <c r="I57" s="506" t="str">
        <v>Project Outcome Alignment Index</v>
      </c>
      <c r="J57" s="538">
        <f>IF(I57&lt;&gt;"",IF(_xlfn.XLOOKUP(I57,KPI_monthly[KPI Name],KPI_monthly[Current Value])&lt;&gt;"",_xlfn.XLOOKUP(I57,KPI_monthly[KPI Name],KPI_monthly[Current Value]),0%),"")</f>
        <v>0</v>
      </c>
      <c r="K57" s="539">
        <f>IFERROR(IF(I57&lt;&gt;"",VALUE(SUBSTITUTE(SUBSTITUTE(_xlfn.XLOOKUP(I57,KPI_monthly[KPI Name],KPI_monthly[Green Threshold]),"&gt;",""),"&lt;","")),""),"")</f>
        <v>0.95</v>
      </c>
      <c r="L57" s="540">
        <f>IF(I57&lt;&gt;"",_xlfn.XLOOKUP(I57,KPI_monthly[KPI Name],KPI_monthly[Status]),"")</f>
        <v>0</v>
      </c>
      <c r="M57" s="439"/>
      <c r="N57" s="547"/>
      <c r="O57" s="548"/>
      <c r="P57" s="548"/>
      <c r="Q57" s="548"/>
      <c r="R57" s="548"/>
      <c r="S57" s="548"/>
      <c r="T57" s="548"/>
      <c r="U57" s="549"/>
      <c r="V57" s="408"/>
      <c r="AH57" s="555" t="str">
        <f t="shared" si="0"/>
        <v>Project Outcome Alignment Index</v>
      </c>
      <c r="AI57" s="556">
        <f t="shared" si="1"/>
        <v>0</v>
      </c>
      <c r="AJ57" s="556">
        <f t="shared" si="2"/>
        <v>0.95</v>
      </c>
    </row>
    <row r="58" spans="1:36" ht="135" customHeight="1" thickBot="1">
      <c r="A58" s="704"/>
      <c r="C58" s="722"/>
      <c r="D58" s="723"/>
      <c r="E58" s="723"/>
      <c r="F58" s="723"/>
      <c r="G58" s="724"/>
      <c r="I58" s="506"/>
      <c r="J58" s="538" t="str">
        <f>IF(I58&lt;&gt;"",IF(_xlfn.XLOOKUP(I58,KPI_monthly[KPI Name],KPI_monthly[Current Value])&lt;&gt;"",_xlfn.XLOOKUP(I58,KPI_monthly[KPI Name],KPI_monthly[Current Value]),0%),"")</f>
        <v/>
      </c>
      <c r="K58" s="539" t="str">
        <f>IFERROR(IF(I58&lt;&gt;"",VALUE(SUBSTITUTE(SUBSTITUTE(_xlfn.XLOOKUP(I58,KPI_monthly[KPI Name],KPI_monthly[Green Threshold]),"&gt;",""),"&lt;","")),""),"")</f>
        <v/>
      </c>
      <c r="L58" s="540" t="str">
        <f>IF(I58&lt;&gt;"",_xlfn.XLOOKUP(I58,KPI_monthly[KPI Name],KPI_monthly[Status]),"")</f>
        <v/>
      </c>
      <c r="M58" s="439"/>
      <c r="N58" s="547"/>
      <c r="O58" s="548"/>
      <c r="P58" s="548"/>
      <c r="Q58" s="548"/>
      <c r="R58" s="548"/>
      <c r="S58" s="548"/>
      <c r="T58" s="548"/>
      <c r="U58" s="549"/>
      <c r="V58" s="408"/>
      <c r="AH58" s="555" t="str">
        <f t="shared" si="0"/>
        <v/>
      </c>
      <c r="AI58" s="556">
        <f t="shared" si="1"/>
        <v>0</v>
      </c>
      <c r="AJ58" s="556" t="str">
        <f t="shared" si="2"/>
        <v/>
      </c>
    </row>
    <row r="59" spans="1:36" ht="135" customHeight="1" thickBot="1">
      <c r="A59" s="704"/>
      <c r="C59" s="721" t="s">
        <v>1033</v>
      </c>
      <c r="D59" s="721" t="s">
        <v>1034</v>
      </c>
      <c r="E59" s="774" t="s">
        <v>1138</v>
      </c>
      <c r="F59" s="774"/>
      <c r="G59" s="775"/>
      <c r="I59" s="506"/>
      <c r="J59" s="538" t="str">
        <f>IF(I59&lt;&gt;"",IF(_xlfn.XLOOKUP(I59,KPI_monthly[KPI Name],KPI_monthly[Current Value])&lt;&gt;"",_xlfn.XLOOKUP(I59,KPI_monthly[KPI Name],KPI_monthly[Current Value]),0%),"")</f>
        <v/>
      </c>
      <c r="K59" s="539" t="str">
        <f>IFERROR(IF(I59&lt;&gt;"",VALUE(SUBSTITUTE(SUBSTITUTE(_xlfn.XLOOKUP(I59,KPI_monthly[KPI Name],KPI_monthly[Green Threshold]),"&gt;",""),"&lt;","")),""),"")</f>
        <v/>
      </c>
      <c r="L59" s="540" t="str">
        <f>IF(I59&lt;&gt;"",_xlfn.XLOOKUP(I59,KPI_monthly[KPI Name],KPI_monthly[Status]),"")</f>
        <v/>
      </c>
      <c r="M59" s="439"/>
      <c r="N59" s="547"/>
      <c r="O59" s="548"/>
      <c r="P59" s="548"/>
      <c r="Q59" s="548"/>
      <c r="R59" s="548"/>
      <c r="S59" s="548"/>
      <c r="T59" s="548"/>
      <c r="U59" s="549"/>
      <c r="V59" s="408"/>
      <c r="AH59" s="555" t="str">
        <f t="shared" si="0"/>
        <v/>
      </c>
      <c r="AI59" s="556">
        <f t="shared" si="1"/>
        <v>0</v>
      </c>
      <c r="AJ59" s="556" t="str">
        <f t="shared" si="2"/>
        <v/>
      </c>
    </row>
    <row r="60" spans="1:36" ht="135" customHeight="1">
      <c r="A60" s="704"/>
      <c r="C60" s="721"/>
      <c r="D60" s="721"/>
      <c r="E60" s="754"/>
      <c r="F60" s="755"/>
      <c r="G60" s="756"/>
      <c r="I60" s="506"/>
      <c r="J60" s="538" t="str">
        <f>IF(I60&lt;&gt;"",IF(_xlfn.XLOOKUP(I60,KPI_monthly[KPI Name],KPI_monthly[Current Value])&lt;&gt;"",_xlfn.XLOOKUP(I60,KPI_monthly[KPI Name],KPI_monthly[Current Value]),0%),"")</f>
        <v/>
      </c>
      <c r="K60" s="539" t="str">
        <f>IFERROR(IF(I60&lt;&gt;"",VALUE(SUBSTITUTE(SUBSTITUTE(_xlfn.XLOOKUP(I60,KPI_monthly[KPI Name],KPI_monthly[Green Threshold]),"&gt;",""),"&lt;","")),""),"")</f>
        <v/>
      </c>
      <c r="L60" s="540" t="str">
        <f>IF(I60&lt;&gt;"",_xlfn.XLOOKUP(I60,KPI_monthly[KPI Name],KPI_monthly[Status]),"")</f>
        <v/>
      </c>
      <c r="M60" s="439"/>
      <c r="N60" s="547"/>
      <c r="O60" s="548"/>
      <c r="P60" s="548"/>
      <c r="Q60" s="548"/>
      <c r="R60" s="548"/>
      <c r="S60" s="548"/>
      <c r="T60" s="548"/>
      <c r="U60" s="549"/>
      <c r="V60" s="408"/>
      <c r="AH60" s="555" t="str">
        <f t="shared" si="0"/>
        <v/>
      </c>
      <c r="AI60" s="556">
        <f t="shared" si="1"/>
        <v>0</v>
      </c>
      <c r="AJ60" s="556" t="str">
        <f t="shared" si="2"/>
        <v/>
      </c>
    </row>
    <row r="61" spans="1:36" ht="135" customHeight="1">
      <c r="A61" s="704"/>
      <c r="C61" s="773" t="s">
        <v>1120</v>
      </c>
      <c r="D61" s="765">
        <f>COUNTIF(KPI_KRI_table[Impact Assessment],C61)</f>
        <v>1</v>
      </c>
      <c r="E61" s="757"/>
      <c r="F61" s="758"/>
      <c r="G61" s="759"/>
      <c r="I61" s="506"/>
      <c r="J61" s="538" t="str">
        <f>IF(I61&lt;&gt;"",IF(_xlfn.XLOOKUP(I61,KPI_monthly[KPI Name],KPI_monthly[Current Value])&lt;&gt;"",_xlfn.XLOOKUP(I61,KPI_monthly[KPI Name],KPI_monthly[Current Value]),0%),"")</f>
        <v/>
      </c>
      <c r="K61" s="539" t="str">
        <f>IFERROR(IF(I61&lt;&gt;"",VALUE(SUBSTITUTE(SUBSTITUTE(_xlfn.XLOOKUP(I61,KPI_monthly[KPI Name],KPI_monthly[Green Threshold]),"&gt;",""),"&lt;","")),""),"")</f>
        <v/>
      </c>
      <c r="L61" s="540" t="str">
        <f>IF(I61&lt;&gt;"",_xlfn.XLOOKUP(I61,KPI_monthly[KPI Name],KPI_monthly[Status]),"")</f>
        <v/>
      </c>
      <c r="M61" s="439"/>
      <c r="N61" s="547"/>
      <c r="O61" s="548"/>
      <c r="P61" s="548"/>
      <c r="Q61" s="548"/>
      <c r="R61" s="548"/>
      <c r="S61" s="548"/>
      <c r="T61" s="548"/>
      <c r="U61" s="549"/>
      <c r="V61" s="408"/>
      <c r="AH61" s="555" t="str">
        <f t="shared" si="0"/>
        <v/>
      </c>
      <c r="AI61" s="556">
        <f t="shared" si="1"/>
        <v>0</v>
      </c>
      <c r="AJ61" s="556" t="str">
        <f t="shared" si="2"/>
        <v/>
      </c>
    </row>
    <row r="62" spans="1:36" ht="135" customHeight="1">
      <c r="A62" s="704"/>
      <c r="C62" s="773"/>
      <c r="D62" s="765"/>
      <c r="E62" s="757"/>
      <c r="F62" s="758"/>
      <c r="G62" s="759"/>
      <c r="I62" s="506"/>
      <c r="J62" s="538" t="str">
        <f>IF(I62&lt;&gt;"",IF(_xlfn.XLOOKUP(I62,KPI_monthly[KPI Name],KPI_monthly[Current Value])&lt;&gt;"",_xlfn.XLOOKUP(I62,KPI_monthly[KPI Name],KPI_monthly[Current Value]),0%),"")</f>
        <v/>
      </c>
      <c r="K62" s="539" t="str">
        <f>IFERROR(IF(I62&lt;&gt;"",VALUE(SUBSTITUTE(SUBSTITUTE(_xlfn.XLOOKUP(I62,KPI_monthly[KPI Name],KPI_monthly[Green Threshold]),"&gt;",""),"&lt;","")),""),"")</f>
        <v/>
      </c>
      <c r="L62" s="540" t="str">
        <f>IF(I62&lt;&gt;"",_xlfn.XLOOKUP(I62,KPI_monthly[KPI Name],KPI_monthly[Status]),"")</f>
        <v/>
      </c>
      <c r="M62" s="439"/>
      <c r="N62" s="547"/>
      <c r="O62" s="548"/>
      <c r="P62" s="548"/>
      <c r="Q62" s="548"/>
      <c r="R62" s="548"/>
      <c r="S62" s="548"/>
      <c r="T62" s="548"/>
      <c r="U62" s="549"/>
      <c r="V62" s="408"/>
      <c r="AH62" s="555" t="str">
        <f t="shared" si="0"/>
        <v/>
      </c>
      <c r="AI62" s="556">
        <f t="shared" si="1"/>
        <v>0</v>
      </c>
      <c r="AJ62" s="556" t="str">
        <f t="shared" si="2"/>
        <v/>
      </c>
    </row>
    <row r="63" spans="1:36" ht="135" customHeight="1">
      <c r="A63" s="704"/>
      <c r="C63" s="753" t="s">
        <v>278</v>
      </c>
      <c r="D63" s="765">
        <f>COUNTIF(KPI_KRI_table[Impact Assessment],C63)</f>
        <v>5</v>
      </c>
      <c r="E63" s="757"/>
      <c r="F63" s="758"/>
      <c r="G63" s="759"/>
      <c r="I63" s="506"/>
      <c r="J63" s="538" t="str">
        <f>IF(I63&lt;&gt;"",IF(_xlfn.XLOOKUP(I63,KPI_monthly[KPI Name],KPI_monthly[Current Value])&lt;&gt;"",_xlfn.XLOOKUP(I63,KPI_monthly[KPI Name],KPI_monthly[Current Value]),0%),"")</f>
        <v/>
      </c>
      <c r="K63" s="539" t="str">
        <f>IFERROR(IF(I63&lt;&gt;"",VALUE(SUBSTITUTE(SUBSTITUTE(_xlfn.XLOOKUP(I63,KPI_monthly[KPI Name],KPI_monthly[Green Threshold]),"&gt;",""),"&lt;","")),""),"")</f>
        <v/>
      </c>
      <c r="L63" s="540" t="str">
        <f>IF(I63&lt;&gt;"",_xlfn.XLOOKUP(I63,KPI_monthly[KPI Name],KPI_monthly[Status]),"")</f>
        <v/>
      </c>
      <c r="M63" s="439"/>
      <c r="N63" s="547"/>
      <c r="O63" s="548"/>
      <c r="P63" s="548"/>
      <c r="Q63" s="548"/>
      <c r="R63" s="548"/>
      <c r="S63" s="548"/>
      <c r="T63" s="548"/>
      <c r="U63" s="549"/>
      <c r="V63" s="408"/>
      <c r="AH63" s="555" t="str">
        <f t="shared" si="0"/>
        <v/>
      </c>
      <c r="AI63" s="556">
        <f t="shared" si="1"/>
        <v>0</v>
      </c>
      <c r="AJ63" s="556" t="str">
        <f t="shared" si="2"/>
        <v/>
      </c>
    </row>
    <row r="64" spans="1:36" ht="135" customHeight="1">
      <c r="A64" s="704"/>
      <c r="C64" s="753"/>
      <c r="D64" s="765"/>
      <c r="E64" s="757"/>
      <c r="F64" s="758"/>
      <c r="G64" s="759"/>
      <c r="I64" s="506"/>
      <c r="J64" s="538" t="str">
        <f>IF(I64&lt;&gt;"",IF(_xlfn.XLOOKUP(I64,KPI_monthly[KPI Name],KPI_monthly[Current Value])&lt;&gt;"",_xlfn.XLOOKUP(I64,KPI_monthly[KPI Name],KPI_monthly[Current Value]),0%),"")</f>
        <v/>
      </c>
      <c r="K64" s="539" t="str">
        <f>IFERROR(IF(I64&lt;&gt;"",VALUE(SUBSTITUTE(SUBSTITUTE(_xlfn.XLOOKUP(I64,KPI_monthly[KPI Name],KPI_monthly[Green Threshold]),"&gt;",""),"&lt;","")),""),"")</f>
        <v/>
      </c>
      <c r="L64" s="540" t="str">
        <f>IF(I64&lt;&gt;"",_xlfn.XLOOKUP(I64,KPI_monthly[KPI Name],KPI_monthly[Status]),"")</f>
        <v/>
      </c>
      <c r="M64" s="439"/>
      <c r="N64" s="547"/>
      <c r="O64" s="548"/>
      <c r="P64" s="548"/>
      <c r="Q64" s="548"/>
      <c r="R64" s="548"/>
      <c r="S64" s="548"/>
      <c r="T64" s="548"/>
      <c r="U64" s="549"/>
      <c r="V64" s="408"/>
      <c r="AH64" s="555" t="str">
        <f t="shared" si="0"/>
        <v/>
      </c>
      <c r="AI64" s="556">
        <f t="shared" si="1"/>
        <v>0</v>
      </c>
      <c r="AJ64" s="556" t="str">
        <f t="shared" si="2"/>
        <v/>
      </c>
    </row>
    <row r="65" spans="1:36" ht="135" customHeight="1">
      <c r="A65" s="704"/>
      <c r="C65" s="763" t="s">
        <v>277</v>
      </c>
      <c r="D65" s="765">
        <f>COUNTIF(KPI_KRI_table[Impact Assessment],C65)</f>
        <v>7</v>
      </c>
      <c r="E65" s="757"/>
      <c r="F65" s="758"/>
      <c r="G65" s="759"/>
      <c r="I65" s="506"/>
      <c r="J65" s="538" t="str">
        <f>IF(I65&lt;&gt;"",IF(_xlfn.XLOOKUP(I65,KPI_monthly[KPI Name],KPI_monthly[Current Value])&lt;&gt;"",_xlfn.XLOOKUP(I65,KPI_monthly[KPI Name],KPI_monthly[Current Value]),0%),"")</f>
        <v/>
      </c>
      <c r="K65" s="539" t="str">
        <f>IFERROR(IF(I65&lt;&gt;"",VALUE(SUBSTITUTE(SUBSTITUTE(_xlfn.XLOOKUP(I65,KPI_monthly[KPI Name],KPI_monthly[Green Threshold]),"&gt;",""),"&lt;","")),""),"")</f>
        <v/>
      </c>
      <c r="L65" s="540" t="str">
        <f>IF(I65&lt;&gt;"",_xlfn.XLOOKUP(I65,KPI_monthly[KPI Name],KPI_monthly[Status]),"")</f>
        <v/>
      </c>
      <c r="M65" s="439"/>
      <c r="N65" s="547"/>
      <c r="O65" s="548"/>
      <c r="P65" s="548"/>
      <c r="Q65" s="548"/>
      <c r="R65" s="548"/>
      <c r="S65" s="548"/>
      <c r="T65" s="548"/>
      <c r="U65" s="549"/>
      <c r="V65" s="408"/>
      <c r="AH65" s="555" t="str">
        <f t="shared" si="0"/>
        <v/>
      </c>
      <c r="AI65" s="556">
        <f t="shared" si="1"/>
        <v>0</v>
      </c>
      <c r="AJ65" s="556" t="str">
        <f t="shared" si="2"/>
        <v/>
      </c>
    </row>
    <row r="66" spans="1:36" ht="135" customHeight="1">
      <c r="A66" s="704"/>
      <c r="C66" s="763"/>
      <c r="D66" s="765"/>
      <c r="E66" s="757"/>
      <c r="F66" s="758"/>
      <c r="G66" s="759"/>
      <c r="I66" s="506"/>
      <c r="J66" s="538" t="str">
        <f>IF(I66&lt;&gt;"",IF(_xlfn.XLOOKUP(I66,KPI_monthly[KPI Name],KPI_monthly[Current Value])&lt;&gt;"",_xlfn.XLOOKUP(I66,KPI_monthly[KPI Name],KPI_monthly[Current Value]),0%),"")</f>
        <v/>
      </c>
      <c r="K66" s="539" t="str">
        <f>IFERROR(IF(I66&lt;&gt;"",VALUE(SUBSTITUTE(SUBSTITUTE(_xlfn.XLOOKUP(I66,KPI_monthly[KPI Name],KPI_monthly[Green Threshold]),"&gt;",""),"&lt;","")),""),"")</f>
        <v/>
      </c>
      <c r="L66" s="540" t="str">
        <f>IF(I66&lt;&gt;"",_xlfn.XLOOKUP(I66,KPI_monthly[KPI Name],KPI_monthly[Status]),"")</f>
        <v/>
      </c>
      <c r="M66" s="439"/>
      <c r="N66" s="547"/>
      <c r="O66" s="548"/>
      <c r="P66" s="548"/>
      <c r="Q66" s="548"/>
      <c r="R66" s="548"/>
      <c r="S66" s="548"/>
      <c r="T66" s="548"/>
      <c r="U66" s="549"/>
      <c r="V66" s="408"/>
      <c r="AH66" s="555" t="str">
        <f t="shared" si="0"/>
        <v/>
      </c>
      <c r="AI66" s="556">
        <f t="shared" si="1"/>
        <v>0</v>
      </c>
      <c r="AJ66" s="556" t="str">
        <f t="shared" si="2"/>
        <v/>
      </c>
    </row>
    <row r="67" spans="1:36" ht="135" customHeight="1">
      <c r="A67" s="704"/>
      <c r="C67" s="764" t="s">
        <v>276</v>
      </c>
      <c r="D67" s="765">
        <f>COUNTIF(KPI_KRI_table[Impact Assessment],C67)</f>
        <v>5</v>
      </c>
      <c r="E67" s="757"/>
      <c r="F67" s="758"/>
      <c r="G67" s="759"/>
      <c r="I67" s="506"/>
      <c r="J67" s="538" t="str">
        <f>IF(I67&lt;&gt;"",IF(_xlfn.XLOOKUP(I67,KPI_monthly[KPI Name],KPI_monthly[Current Value])&lt;&gt;"",_xlfn.XLOOKUP(I67,KPI_monthly[KPI Name],KPI_monthly[Current Value]),0%),"")</f>
        <v/>
      </c>
      <c r="K67" s="539" t="str">
        <f>IFERROR(IF(I67&lt;&gt;"",VALUE(SUBSTITUTE(SUBSTITUTE(_xlfn.XLOOKUP(I67,KPI_monthly[KPI Name],KPI_monthly[Green Threshold]),"&gt;",""),"&lt;","")),""),"")</f>
        <v/>
      </c>
      <c r="L67" s="540" t="str">
        <f>IF(I67&lt;&gt;"",_xlfn.XLOOKUP(I67,KPI_monthly[KPI Name],KPI_monthly[Status]),"")</f>
        <v/>
      </c>
      <c r="M67" s="439"/>
      <c r="N67" s="547"/>
      <c r="O67" s="548"/>
      <c r="P67" s="548"/>
      <c r="Q67" s="548"/>
      <c r="R67" s="548"/>
      <c r="S67" s="548"/>
      <c r="T67" s="548"/>
      <c r="U67" s="549"/>
      <c r="V67" s="408"/>
      <c r="AH67" s="555" t="str">
        <f t="shared" si="0"/>
        <v/>
      </c>
      <c r="AI67" s="556">
        <f t="shared" si="1"/>
        <v>0</v>
      </c>
      <c r="AJ67" s="556" t="str">
        <f t="shared" si="2"/>
        <v/>
      </c>
    </row>
    <row r="68" spans="1:36" ht="135" customHeight="1" thickBot="1">
      <c r="A68" s="704"/>
      <c r="C68" s="764"/>
      <c r="D68" s="765"/>
      <c r="E68" s="760"/>
      <c r="F68" s="761"/>
      <c r="G68" s="762"/>
      <c r="I68" s="507"/>
      <c r="J68" s="538" t="str">
        <f>IF(I68&lt;&gt;"",IF(_xlfn.XLOOKUP(I68,KPI_monthly[KPI Name],KPI_monthly[Current Value])&lt;&gt;"",_xlfn.XLOOKUP(I68,KPI_monthly[KPI Name],KPI_monthly[Current Value]),0%),"")</f>
        <v/>
      </c>
      <c r="K68" s="539" t="str">
        <f>IFERROR(IF(I68&lt;&gt;"",VALUE(SUBSTITUTE(SUBSTITUTE(_xlfn.XLOOKUP(I68,KPI_monthly[KPI Name],KPI_monthly[Green Threshold]),"&gt;",""),"&lt;","")),""),"")</f>
        <v/>
      </c>
      <c r="L68" s="540" t="str">
        <f>IF(I68&lt;&gt;"",_xlfn.XLOOKUP(I68,KPI_monthly[KPI Name],KPI_monthly[Status]),"")</f>
        <v/>
      </c>
      <c r="M68" s="439"/>
      <c r="N68" s="550"/>
      <c r="O68" s="551"/>
      <c r="P68" s="551"/>
      <c r="Q68" s="551"/>
      <c r="R68" s="551"/>
      <c r="S68" s="551"/>
      <c r="T68" s="551"/>
      <c r="U68" s="552"/>
      <c r="V68" s="408"/>
      <c r="AH68" s="555" t="str">
        <f t="shared" si="0"/>
        <v/>
      </c>
      <c r="AI68" s="556">
        <f t="shared" si="1"/>
        <v>0</v>
      </c>
      <c r="AJ68" s="556" t="str">
        <f t="shared" si="2"/>
        <v/>
      </c>
    </row>
    <row r="69" spans="1:36" ht="38.1" customHeight="1" thickBot="1">
      <c r="A69" s="705"/>
      <c r="B69" s="411"/>
      <c r="C69" s="411"/>
      <c r="D69" s="411"/>
      <c r="E69" s="411"/>
      <c r="F69" s="411"/>
      <c r="G69" s="411"/>
      <c r="H69" s="411"/>
      <c r="I69" s="427"/>
      <c r="J69" s="411"/>
      <c r="K69" s="411"/>
      <c r="L69" s="411"/>
      <c r="M69" s="411"/>
      <c r="N69" s="411"/>
      <c r="O69" s="411"/>
      <c r="P69" s="411"/>
      <c r="Q69" s="411"/>
      <c r="R69" s="411"/>
      <c r="S69" s="411"/>
      <c r="T69" s="411"/>
      <c r="U69" s="411"/>
      <c r="V69" s="415"/>
    </row>
    <row r="70" spans="1:36" ht="45.6" customHeight="1" thickTop="1"/>
    <row r="71" spans="1:36" ht="45.6" customHeight="1"/>
    <row r="72" spans="1:36" ht="45.6" customHeight="1"/>
    <row r="73" spans="1:36" ht="45.6" customHeight="1"/>
    <row r="74" spans="1:36" ht="45.6" customHeight="1"/>
    <row r="75" spans="1:36" ht="45.6" customHeight="1"/>
  </sheetData>
  <mergeCells count="66">
    <mergeCell ref="N16:O17"/>
    <mergeCell ref="P16:U17"/>
    <mergeCell ref="P18:U23"/>
    <mergeCell ref="C43:E46"/>
    <mergeCell ref="F43:G46"/>
    <mergeCell ref="I28:L28"/>
    <mergeCell ref="C16:E19"/>
    <mergeCell ref="D22:E22"/>
    <mergeCell ref="D23:E23"/>
    <mergeCell ref="C30:C31"/>
    <mergeCell ref="C52:C53"/>
    <mergeCell ref="D52:D53"/>
    <mergeCell ref="E52:E53"/>
    <mergeCell ref="F47:G53"/>
    <mergeCell ref="C61:C62"/>
    <mergeCell ref="C56:G58"/>
    <mergeCell ref="E59:G59"/>
    <mergeCell ref="C63:C64"/>
    <mergeCell ref="E60:G68"/>
    <mergeCell ref="C65:C66"/>
    <mergeCell ref="C67:C68"/>
    <mergeCell ref="D61:D62"/>
    <mergeCell ref="D63:D64"/>
    <mergeCell ref="D65:D66"/>
    <mergeCell ref="D67:D68"/>
    <mergeCell ref="C59:C60"/>
    <mergeCell ref="D59:D60"/>
    <mergeCell ref="A1:A3"/>
    <mergeCell ref="C1:V1"/>
    <mergeCell ref="C3:V3"/>
    <mergeCell ref="A4:A13"/>
    <mergeCell ref="C5:E6"/>
    <mergeCell ref="F5:G6"/>
    <mergeCell ref="I5:J6"/>
    <mergeCell ref="K5:L6"/>
    <mergeCell ref="F7:G12"/>
    <mergeCell ref="K7:L12"/>
    <mergeCell ref="N9:P12"/>
    <mergeCell ref="R5:S6"/>
    <mergeCell ref="T7:U12"/>
    <mergeCell ref="T5:U6"/>
    <mergeCell ref="A27:A40"/>
    <mergeCell ref="C28:E29"/>
    <mergeCell ref="F28:G29"/>
    <mergeCell ref="C38:E39"/>
    <mergeCell ref="F38:G39"/>
    <mergeCell ref="D30:D31"/>
    <mergeCell ref="E30:E31"/>
    <mergeCell ref="C36:G37"/>
    <mergeCell ref="F30:G34"/>
    <mergeCell ref="A15:A25"/>
    <mergeCell ref="F16:G17"/>
    <mergeCell ref="F18:G23"/>
    <mergeCell ref="I43:L44"/>
    <mergeCell ref="I16:J17"/>
    <mergeCell ref="K16:L17"/>
    <mergeCell ref="K18:L23"/>
    <mergeCell ref="D20:E20"/>
    <mergeCell ref="D21:E21"/>
    <mergeCell ref="A42:A69"/>
    <mergeCell ref="C48:C49"/>
    <mergeCell ref="D48:D49"/>
    <mergeCell ref="E48:E49"/>
    <mergeCell ref="C50:C51"/>
    <mergeCell ref="D50:D51"/>
    <mergeCell ref="E50:E51"/>
  </mergeCells>
  <conditionalFormatting sqref="C26 C8:C12">
    <cfRule type="containsText" dxfId="15" priority="15" operator="containsText" text="Severe">
      <formula>NOT(ISERROR(SEARCH("Severe",C8)))</formula>
    </cfRule>
    <cfRule type="containsText" dxfId="14" priority="16" operator="containsText" text="Major">
      <formula>NOT(ISERROR(SEARCH("Major",C8)))</formula>
    </cfRule>
    <cfRule type="containsText" dxfId="13" priority="17" operator="containsText" text="Moderate">
      <formula>NOT(ISERROR(SEARCH("Moderate",C8)))</formula>
    </cfRule>
    <cfRule type="containsText" dxfId="12" priority="18" operator="containsText" text="Minor">
      <formula>NOT(ISERROR(SEARCH("Minor",C8)))</formula>
    </cfRule>
    <cfRule type="containsText" dxfId="11" priority="19" operator="containsText" text="Insignificant">
      <formula>NOT(ISERROR(SEARCH("Insignificant",C8)))</formula>
    </cfRule>
  </conditionalFormatting>
  <conditionalFormatting sqref="L46:L69">
    <cfRule type="containsText" dxfId="10" priority="10" operator="containsText" text="Amber">
      <formula>NOT(ISERROR(SEARCH("Amber",L46)))</formula>
    </cfRule>
    <cfRule type="containsText" dxfId="9" priority="11" operator="containsText" text="Red">
      <formula>NOT(ISERROR(SEARCH("Red",L46)))</formula>
    </cfRule>
    <cfRule type="containsText" dxfId="8" priority="12" operator="containsText" text="Green">
      <formula>NOT(ISERROR(SEARCH("Green",L46)))</formula>
    </cfRule>
  </conditionalFormatting>
  <conditionalFormatting sqref="C21:C23">
    <cfRule type="containsText" dxfId="7" priority="2" operator="containsText" text="High">
      <formula>NOT(ISERROR(SEARCH("High",C21)))</formula>
    </cfRule>
    <cfRule type="containsText" dxfId="6" priority="3" operator="containsText" text="Medium">
      <formula>NOT(ISERROR(SEARCH("Medium",C21)))</formula>
    </cfRule>
    <cfRule type="containsText" dxfId="5" priority="4" operator="containsText" text="Low">
      <formula>NOT(ISERROR(SEARCH("Low",C21)))</formula>
    </cfRule>
    <cfRule type="containsText" dxfId="4" priority="5" operator="containsText" text="Severe">
      <formula>NOT(ISERROR(SEARCH("Severe",C21)))</formula>
    </cfRule>
    <cfRule type="containsText" dxfId="3" priority="6" operator="containsText" text="Major">
      <formula>NOT(ISERROR(SEARCH("Major",C21)))</formula>
    </cfRule>
    <cfRule type="containsText" dxfId="2" priority="7" operator="containsText" text="Moderate">
      <formula>NOT(ISERROR(SEARCH("Moderate",C21)))</formula>
    </cfRule>
    <cfRule type="containsText" dxfId="1" priority="8" operator="containsText" text="Minor">
      <formula>NOT(ISERROR(SEARCH("Minor",C21)))</formula>
    </cfRule>
    <cfRule type="containsText" dxfId="0" priority="9" operator="containsText" text="Insignificant">
      <formula>NOT(ISERROR(SEARCH("Insignificant",C21)))</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2C133-EAC5-4878-8DA0-86725CAC0DF0}">
  <sheetPr codeName="Sheet15">
    <tabColor theme="9" tint="-0.249977111117893"/>
  </sheetPr>
  <dimension ref="A1:AG115"/>
  <sheetViews>
    <sheetView zoomScale="50" zoomScaleNormal="50" workbookViewId="0">
      <selection activeCell="C5" sqref="C5"/>
    </sheetView>
  </sheetViews>
  <sheetFormatPr defaultRowHeight="13.8"/>
  <cols>
    <col min="1" max="1" width="40.109375" style="274" customWidth="1"/>
    <col min="2" max="2" width="51.6640625" style="290" bestFit="1" customWidth="1"/>
    <col min="3" max="3" width="47.109375" style="290" bestFit="1" customWidth="1"/>
    <col min="4" max="4" width="45" style="290" bestFit="1" customWidth="1"/>
    <col min="5" max="5" width="35.88671875" style="274" bestFit="1" customWidth="1"/>
    <col min="6" max="6" width="52" style="274" bestFit="1" customWidth="1"/>
    <col min="7" max="7" width="45.88671875" style="274" customWidth="1"/>
    <col min="8" max="8" width="33.88671875" style="274" customWidth="1"/>
    <col min="9" max="9" width="56.109375" style="274" bestFit="1" customWidth="1"/>
    <col min="10" max="10" width="16.6640625" customWidth="1"/>
    <col min="11" max="11" width="15.33203125" customWidth="1"/>
    <col min="12" max="12" width="18.88671875" bestFit="1" customWidth="1"/>
    <col min="13" max="13" width="19.109375" bestFit="1" customWidth="1"/>
    <col min="14" max="14" width="11.44140625" bestFit="1" customWidth="1"/>
    <col min="15" max="15" width="9" bestFit="1" customWidth="1"/>
    <col min="16" max="16" width="14.88671875" bestFit="1" customWidth="1"/>
    <col min="17" max="17" width="57.5546875" bestFit="1" customWidth="1"/>
    <col min="18" max="18" width="39.109375" bestFit="1" customWidth="1"/>
    <col min="19" max="19" width="29.33203125" bestFit="1" customWidth="1"/>
    <col min="20" max="20" width="19.109375" customWidth="1"/>
    <col min="22" max="22" width="21.88671875" customWidth="1"/>
    <col min="24" max="24" width="20.88671875" customWidth="1"/>
    <col min="27" max="32" width="0" hidden="1" customWidth="1"/>
    <col min="38" max="38" width="40.33203125" customWidth="1"/>
    <col min="44" max="44" width="22.33203125" customWidth="1"/>
  </cols>
  <sheetData>
    <row r="1" spans="1:33" s="272" customFormat="1" ht="46.8">
      <c r="A1" s="299" t="s">
        <v>471</v>
      </c>
      <c r="B1" s="299" t="s">
        <v>730</v>
      </c>
      <c r="C1" s="561" t="s">
        <v>925</v>
      </c>
      <c r="D1" s="561" t="s">
        <v>1039</v>
      </c>
      <c r="E1" s="561" t="s">
        <v>927</v>
      </c>
      <c r="F1" s="561" t="s">
        <v>926</v>
      </c>
      <c r="G1" s="561" t="s">
        <v>928</v>
      </c>
      <c r="H1" s="561" t="s">
        <v>885</v>
      </c>
      <c r="I1" s="295" t="s">
        <v>1087</v>
      </c>
      <c r="M1" s="245" t="s">
        <v>471</v>
      </c>
      <c r="N1" s="245" t="s">
        <v>730</v>
      </c>
      <c r="O1" s="245" t="s">
        <v>925</v>
      </c>
      <c r="P1" s="245" t="s">
        <v>1039</v>
      </c>
      <c r="Q1" s="245" t="s">
        <v>927</v>
      </c>
      <c r="R1" s="254" t="s">
        <v>926</v>
      </c>
      <c r="S1" s="254" t="s">
        <v>928</v>
      </c>
      <c r="T1" s="254" t="s">
        <v>885</v>
      </c>
      <c r="AB1" s="188"/>
      <c r="AC1" s="188"/>
      <c r="AD1" s="188"/>
      <c r="AE1" s="188"/>
      <c r="AF1" s="188"/>
      <c r="AG1" s="188"/>
    </row>
    <row r="2" spans="1:33" ht="60">
      <c r="A2" s="297" t="s">
        <v>667</v>
      </c>
      <c r="B2" s="298" t="s">
        <v>1339</v>
      </c>
      <c r="C2" s="528" t="s">
        <v>2035</v>
      </c>
      <c r="D2" s="598"/>
      <c r="E2" s="562" t="s">
        <v>278</v>
      </c>
      <c r="F2" s="563" t="s">
        <v>1883</v>
      </c>
      <c r="G2" s="563" t="s">
        <v>1884</v>
      </c>
      <c r="H2" s="563" t="s">
        <v>1919</v>
      </c>
      <c r="I2" s="296" t="s">
        <v>1216</v>
      </c>
      <c r="M2" s="255" t="s">
        <v>667</v>
      </c>
      <c r="N2" s="255" t="s">
        <v>736</v>
      </c>
      <c r="O2" s="256">
        <v>2.1000000000000001E-2</v>
      </c>
      <c r="P2" s="257" t="s">
        <v>381</v>
      </c>
      <c r="Q2" s="258" t="s">
        <v>931</v>
      </c>
      <c r="R2" s="255" t="s">
        <v>930</v>
      </c>
      <c r="S2" s="255" t="s">
        <v>932</v>
      </c>
      <c r="T2" s="259" t="s">
        <v>933</v>
      </c>
      <c r="AB2" s="899" t="s">
        <v>884</v>
      </c>
      <c r="AC2" s="899"/>
      <c r="AD2" s="899"/>
      <c r="AE2" s="899"/>
      <c r="AF2" s="899"/>
      <c r="AG2" s="899"/>
    </row>
    <row r="3" spans="1:33" ht="60">
      <c r="A3" s="297" t="s">
        <v>1209</v>
      </c>
      <c r="B3" s="298" t="s">
        <v>1330</v>
      </c>
      <c r="C3" s="528" t="s">
        <v>2037</v>
      </c>
      <c r="D3" s="528" t="s">
        <v>1975</v>
      </c>
      <c r="E3" s="527" t="s">
        <v>277</v>
      </c>
      <c r="F3" s="563" t="s">
        <v>1885</v>
      </c>
      <c r="G3" s="563" t="s">
        <v>1886</v>
      </c>
      <c r="H3" s="563" t="s">
        <v>1920</v>
      </c>
      <c r="I3" s="296" t="s">
        <v>1216</v>
      </c>
      <c r="M3" s="260" t="s">
        <v>667</v>
      </c>
      <c r="N3" s="260" t="s">
        <v>570</v>
      </c>
      <c r="O3" s="261">
        <v>0.95</v>
      </c>
      <c r="P3" s="261" t="s">
        <v>381</v>
      </c>
      <c r="Q3" s="262" t="s">
        <v>931</v>
      </c>
      <c r="R3" s="260" t="s">
        <v>934</v>
      </c>
      <c r="S3" s="260" t="s">
        <v>935</v>
      </c>
      <c r="T3" s="263" t="s">
        <v>936</v>
      </c>
    </row>
    <row r="4" spans="1:33" ht="60">
      <c r="A4" s="297" t="s">
        <v>1212</v>
      </c>
      <c r="B4" s="298" t="s">
        <v>1339</v>
      </c>
      <c r="C4" s="528" t="s">
        <v>2035</v>
      </c>
      <c r="D4" s="527" t="s">
        <v>1654</v>
      </c>
      <c r="E4" s="562" t="s">
        <v>278</v>
      </c>
      <c r="F4" s="563" t="s">
        <v>1887</v>
      </c>
      <c r="G4" s="563" t="s">
        <v>1888</v>
      </c>
      <c r="H4" s="563" t="s">
        <v>1921</v>
      </c>
      <c r="I4" s="296" t="s">
        <v>1216</v>
      </c>
      <c r="M4" s="255" t="s">
        <v>667</v>
      </c>
      <c r="N4" s="255" t="s">
        <v>669</v>
      </c>
      <c r="O4" s="256">
        <v>2.5000000000000001E-2</v>
      </c>
      <c r="P4" s="257" t="s">
        <v>381</v>
      </c>
      <c r="Q4" s="258" t="s">
        <v>938</v>
      </c>
      <c r="R4" s="255" t="s">
        <v>937</v>
      </c>
      <c r="S4" s="255" t="s">
        <v>939</v>
      </c>
      <c r="T4" s="259" t="s">
        <v>940</v>
      </c>
    </row>
    <row r="5" spans="1:33" ht="66">
      <c r="A5" s="297" t="s">
        <v>1164</v>
      </c>
      <c r="B5" s="298" t="s">
        <v>1330</v>
      </c>
      <c r="C5" s="528" t="s">
        <v>2037</v>
      </c>
      <c r="D5" s="300" t="s">
        <v>1655</v>
      </c>
      <c r="E5" s="527" t="s">
        <v>277</v>
      </c>
      <c r="F5" s="563" t="s">
        <v>1889</v>
      </c>
      <c r="G5" s="563" t="s">
        <v>1890</v>
      </c>
      <c r="H5" s="563" t="s">
        <v>1922</v>
      </c>
      <c r="I5" s="296" t="s">
        <v>1216</v>
      </c>
      <c r="M5" s="260" t="s">
        <v>475</v>
      </c>
      <c r="N5" s="260" t="s">
        <v>750</v>
      </c>
      <c r="O5" s="261" t="s">
        <v>678</v>
      </c>
      <c r="P5" s="261" t="s">
        <v>878</v>
      </c>
      <c r="Q5" s="262" t="s">
        <v>943</v>
      </c>
      <c r="R5" s="260" t="s">
        <v>942</v>
      </c>
      <c r="S5" s="260" t="s">
        <v>944</v>
      </c>
      <c r="T5" s="264" t="s">
        <v>945</v>
      </c>
    </row>
    <row r="6" spans="1:33" ht="60">
      <c r="A6" s="297" t="s">
        <v>1373</v>
      </c>
      <c r="B6" s="298" t="s">
        <v>1342</v>
      </c>
      <c r="C6" s="528" t="s">
        <v>2036</v>
      </c>
      <c r="D6" s="527" t="s">
        <v>1652</v>
      </c>
      <c r="E6" s="527" t="s">
        <v>277</v>
      </c>
      <c r="F6" s="563" t="s">
        <v>1891</v>
      </c>
      <c r="G6" s="563" t="s">
        <v>1892</v>
      </c>
      <c r="H6" s="563" t="s">
        <v>1923</v>
      </c>
      <c r="I6" s="296" t="s">
        <v>1216</v>
      </c>
      <c r="M6" s="255" t="s">
        <v>530</v>
      </c>
      <c r="N6" s="255" t="s">
        <v>754</v>
      </c>
      <c r="O6" s="257" t="s">
        <v>757</v>
      </c>
      <c r="P6" s="257" t="s">
        <v>742</v>
      </c>
      <c r="Q6" s="258" t="s">
        <v>947</v>
      </c>
      <c r="R6" s="255" t="s">
        <v>946</v>
      </c>
      <c r="S6" s="255" t="s">
        <v>948</v>
      </c>
      <c r="T6" s="259" t="s">
        <v>949</v>
      </c>
    </row>
    <row r="7" spans="1:33" ht="66">
      <c r="A7" s="297" t="s">
        <v>1384</v>
      </c>
      <c r="B7" s="298" t="s">
        <v>1342</v>
      </c>
      <c r="C7" s="528" t="s">
        <v>2036</v>
      </c>
      <c r="D7" s="300" t="s">
        <v>1653</v>
      </c>
      <c r="E7" s="527" t="s">
        <v>277</v>
      </c>
      <c r="F7" s="563" t="s">
        <v>1893</v>
      </c>
      <c r="G7" s="563" t="s">
        <v>1894</v>
      </c>
      <c r="H7" s="563" t="s">
        <v>1924</v>
      </c>
      <c r="I7" s="296" t="s">
        <v>1216</v>
      </c>
      <c r="M7" s="260" t="s">
        <v>686</v>
      </c>
      <c r="N7" s="260" t="s">
        <v>761</v>
      </c>
      <c r="O7" s="261">
        <v>0.8</v>
      </c>
      <c r="P7" s="261" t="s">
        <v>879</v>
      </c>
      <c r="Q7" s="262" t="s">
        <v>952</v>
      </c>
      <c r="R7" s="260" t="s">
        <v>951</v>
      </c>
      <c r="S7" s="260" t="s">
        <v>953</v>
      </c>
      <c r="T7" s="264" t="s">
        <v>954</v>
      </c>
    </row>
    <row r="8" spans="1:33" ht="60">
      <c r="A8" s="297" t="s">
        <v>2028</v>
      </c>
      <c r="B8" s="298" t="s">
        <v>1339</v>
      </c>
      <c r="C8" s="528" t="s">
        <v>2035</v>
      </c>
      <c r="D8" s="598"/>
      <c r="E8" s="675"/>
      <c r="F8" s="563"/>
      <c r="G8" s="563"/>
      <c r="H8" s="563"/>
      <c r="I8" s="296" t="s">
        <v>1216</v>
      </c>
      <c r="M8" s="255" t="s">
        <v>686</v>
      </c>
      <c r="N8" s="255" t="s">
        <v>370</v>
      </c>
      <c r="O8" s="257">
        <v>12</v>
      </c>
      <c r="P8" s="257" t="s">
        <v>879</v>
      </c>
      <c r="Q8" s="258" t="s">
        <v>943</v>
      </c>
      <c r="R8" s="255" t="s">
        <v>955</v>
      </c>
      <c r="S8" s="255" t="s">
        <v>956</v>
      </c>
      <c r="T8" s="265" t="s">
        <v>957</v>
      </c>
    </row>
    <row r="9" spans="1:33" ht="66">
      <c r="A9" s="508" t="s">
        <v>1160</v>
      </c>
      <c r="B9" s="509" t="s">
        <v>1345</v>
      </c>
      <c r="C9" s="528" t="s">
        <v>2038</v>
      </c>
      <c r="D9" s="300" t="s">
        <v>1956</v>
      </c>
      <c r="E9" s="300" t="s">
        <v>276</v>
      </c>
      <c r="F9" s="564" t="s">
        <v>1895</v>
      </c>
      <c r="G9" s="564" t="s">
        <v>1896</v>
      </c>
      <c r="H9" s="564" t="s">
        <v>1925</v>
      </c>
      <c r="I9" s="510" t="s">
        <v>1217</v>
      </c>
      <c r="M9" s="260" t="s">
        <v>686</v>
      </c>
      <c r="N9" s="260" t="s">
        <v>689</v>
      </c>
      <c r="O9" s="266">
        <v>0.94</v>
      </c>
      <c r="P9" s="261" t="s">
        <v>879</v>
      </c>
      <c r="Q9" s="262" t="s">
        <v>959</v>
      </c>
      <c r="R9" s="260" t="s">
        <v>958</v>
      </c>
      <c r="S9" s="260" t="s">
        <v>960</v>
      </c>
      <c r="T9" s="264" t="s">
        <v>961</v>
      </c>
    </row>
    <row r="10" spans="1:33" ht="60">
      <c r="A10" s="508" t="s">
        <v>1232</v>
      </c>
      <c r="B10" s="509" t="s">
        <v>1348</v>
      </c>
      <c r="C10" s="528" t="s">
        <v>2039</v>
      </c>
      <c r="D10" s="300" t="s">
        <v>1658</v>
      </c>
      <c r="E10" s="300" t="s">
        <v>276</v>
      </c>
      <c r="F10" s="564" t="s">
        <v>1897</v>
      </c>
      <c r="G10" s="564" t="s">
        <v>1898</v>
      </c>
      <c r="H10" s="564" t="s">
        <v>1926</v>
      </c>
      <c r="I10" s="510" t="s">
        <v>1217</v>
      </c>
      <c r="M10" s="255" t="s">
        <v>418</v>
      </c>
      <c r="N10" s="255" t="s">
        <v>361</v>
      </c>
      <c r="O10" s="257">
        <v>4</v>
      </c>
      <c r="P10" s="267">
        <v>1</v>
      </c>
      <c r="Q10" s="258" t="s">
        <v>947</v>
      </c>
      <c r="R10" s="255" t="s">
        <v>963</v>
      </c>
      <c r="S10" s="255" t="s">
        <v>964</v>
      </c>
      <c r="T10" s="259" t="s">
        <v>965</v>
      </c>
    </row>
    <row r="11" spans="1:33" ht="60">
      <c r="A11" s="508" t="s">
        <v>1187</v>
      </c>
      <c r="B11" s="509" t="s">
        <v>1345</v>
      </c>
      <c r="C11" s="528" t="s">
        <v>2038</v>
      </c>
      <c r="D11" s="528" t="s">
        <v>1656</v>
      </c>
      <c r="E11" s="528" t="s">
        <v>1120</v>
      </c>
      <c r="F11" s="564" t="s">
        <v>1899</v>
      </c>
      <c r="G11" s="564" t="s">
        <v>1900</v>
      </c>
      <c r="H11" s="564" t="s">
        <v>1936</v>
      </c>
      <c r="I11" s="510" t="s">
        <v>1217</v>
      </c>
      <c r="M11" s="260" t="s">
        <v>418</v>
      </c>
      <c r="N11" s="260" t="s">
        <v>776</v>
      </c>
      <c r="O11" s="261" t="s">
        <v>778</v>
      </c>
      <c r="P11" s="266">
        <v>1</v>
      </c>
      <c r="Q11" s="262" t="s">
        <v>967</v>
      </c>
      <c r="R11" s="260" t="s">
        <v>966</v>
      </c>
      <c r="S11" s="260" t="s">
        <v>968</v>
      </c>
      <c r="T11" s="263" t="s">
        <v>969</v>
      </c>
    </row>
    <row r="12" spans="1:33" ht="45.6">
      <c r="A12" s="529" t="s">
        <v>1199</v>
      </c>
      <c r="B12" s="530" t="s">
        <v>1352</v>
      </c>
      <c r="C12" s="300" t="s">
        <v>1976</v>
      </c>
      <c r="D12" s="598"/>
      <c r="E12" s="300" t="s">
        <v>276</v>
      </c>
      <c r="F12" s="565" t="s">
        <v>1901</v>
      </c>
      <c r="G12" s="565" t="s">
        <v>1902</v>
      </c>
      <c r="H12" s="565" t="s">
        <v>1927</v>
      </c>
      <c r="I12" s="531" t="s">
        <v>1222</v>
      </c>
      <c r="M12" s="255" t="s">
        <v>418</v>
      </c>
      <c r="N12" s="255" t="s">
        <v>781</v>
      </c>
      <c r="O12" s="257" t="s">
        <v>784</v>
      </c>
      <c r="P12" s="267">
        <v>1</v>
      </c>
      <c r="Q12" s="258" t="s">
        <v>971</v>
      </c>
      <c r="R12" s="255" t="s">
        <v>970</v>
      </c>
      <c r="S12" s="255" t="s">
        <v>972</v>
      </c>
      <c r="T12" s="265" t="s">
        <v>973</v>
      </c>
    </row>
    <row r="13" spans="1:33" ht="52.8">
      <c r="A13" s="529" t="s">
        <v>1244</v>
      </c>
      <c r="B13" s="530" t="s">
        <v>1333</v>
      </c>
      <c r="C13" s="528" t="s">
        <v>2040</v>
      </c>
      <c r="D13" s="598" t="s">
        <v>1979</v>
      </c>
      <c r="E13" s="527" t="s">
        <v>277</v>
      </c>
      <c r="F13" s="565" t="s">
        <v>1903</v>
      </c>
      <c r="G13" s="565" t="s">
        <v>1904</v>
      </c>
      <c r="H13" s="565" t="s">
        <v>1928</v>
      </c>
      <c r="I13" s="531" t="s">
        <v>1222</v>
      </c>
      <c r="M13" s="260" t="s">
        <v>695</v>
      </c>
      <c r="N13" s="260" t="s">
        <v>789</v>
      </c>
      <c r="O13" s="266">
        <v>0.82</v>
      </c>
      <c r="P13" s="261" t="s">
        <v>696</v>
      </c>
      <c r="Q13" s="262" t="s">
        <v>976</v>
      </c>
      <c r="R13" s="260" t="s">
        <v>975</v>
      </c>
      <c r="S13" s="260" t="s">
        <v>977</v>
      </c>
      <c r="T13" s="264" t="s">
        <v>978</v>
      </c>
    </row>
    <row r="14" spans="1:33" ht="52.8">
      <c r="A14" s="529" t="s">
        <v>810</v>
      </c>
      <c r="B14" s="530" t="s">
        <v>1352</v>
      </c>
      <c r="C14" s="300" t="s">
        <v>1976</v>
      </c>
      <c r="D14" s="598" t="s">
        <v>1980</v>
      </c>
      <c r="E14" s="300" t="s">
        <v>276</v>
      </c>
      <c r="F14" s="565" t="s">
        <v>1905</v>
      </c>
      <c r="G14" s="565" t="s">
        <v>1906</v>
      </c>
      <c r="H14" s="565" t="s">
        <v>1929</v>
      </c>
      <c r="I14" s="531" t="s">
        <v>1222</v>
      </c>
      <c r="M14" s="255" t="s">
        <v>793</v>
      </c>
      <c r="N14" s="255" t="s">
        <v>796</v>
      </c>
      <c r="O14" s="267">
        <v>0.15</v>
      </c>
      <c r="P14" s="257" t="s">
        <v>795</v>
      </c>
      <c r="Q14" s="258" t="s">
        <v>980</v>
      </c>
      <c r="R14" s="255" t="s">
        <v>979</v>
      </c>
      <c r="S14" s="255" t="s">
        <v>981</v>
      </c>
      <c r="T14" s="265" t="s">
        <v>982</v>
      </c>
    </row>
    <row r="15" spans="1:33" ht="60">
      <c r="A15" s="532" t="s">
        <v>1108</v>
      </c>
      <c r="B15" s="533" t="s">
        <v>1336</v>
      </c>
      <c r="C15" s="528" t="s">
        <v>2041</v>
      </c>
      <c r="D15" s="598"/>
      <c r="E15" s="527" t="s">
        <v>277</v>
      </c>
      <c r="F15" s="566" t="s">
        <v>1907</v>
      </c>
      <c r="G15" s="566" t="s">
        <v>1908</v>
      </c>
      <c r="H15" s="566" t="s">
        <v>1930</v>
      </c>
      <c r="I15" s="534" t="s">
        <v>654</v>
      </c>
      <c r="M15" s="260" t="s">
        <v>983</v>
      </c>
      <c r="N15" s="260" t="s">
        <v>385</v>
      </c>
      <c r="O15" s="261">
        <v>4</v>
      </c>
      <c r="P15" s="261" t="s">
        <v>984</v>
      </c>
      <c r="Q15" s="262" t="s">
        <v>959</v>
      </c>
      <c r="R15" s="260" t="s">
        <v>985</v>
      </c>
      <c r="S15" s="260" t="s">
        <v>986</v>
      </c>
      <c r="T15" s="263" t="s">
        <v>987</v>
      </c>
    </row>
    <row r="16" spans="1:33" ht="60">
      <c r="A16" s="532" t="s">
        <v>686</v>
      </c>
      <c r="B16" s="533" t="s">
        <v>1336</v>
      </c>
      <c r="C16" s="528" t="s">
        <v>2041</v>
      </c>
      <c r="D16" s="598" t="s">
        <v>1981</v>
      </c>
      <c r="E16" s="300" t="s">
        <v>276</v>
      </c>
      <c r="F16" s="566" t="s">
        <v>1909</v>
      </c>
      <c r="G16" s="566" t="s">
        <v>1910</v>
      </c>
      <c r="H16" s="566" t="s">
        <v>1931</v>
      </c>
      <c r="I16" s="534" t="s">
        <v>654</v>
      </c>
      <c r="M16" s="255" t="s">
        <v>699</v>
      </c>
      <c r="N16" s="255" t="s">
        <v>378</v>
      </c>
      <c r="O16" s="257">
        <v>3</v>
      </c>
      <c r="P16" s="257" t="s">
        <v>696</v>
      </c>
      <c r="Q16" s="258" t="s">
        <v>931</v>
      </c>
      <c r="R16" s="255" t="s">
        <v>989</v>
      </c>
      <c r="S16" s="255" t="s">
        <v>990</v>
      </c>
      <c r="T16" s="259" t="s">
        <v>991</v>
      </c>
    </row>
    <row r="17" spans="1:20" ht="60">
      <c r="A17" s="532" t="s">
        <v>1445</v>
      </c>
      <c r="B17" s="533" t="s">
        <v>1333</v>
      </c>
      <c r="C17" s="528" t="s">
        <v>2040</v>
      </c>
      <c r="D17" s="598"/>
      <c r="E17" s="562" t="s">
        <v>278</v>
      </c>
      <c r="F17" s="566" t="s">
        <v>1911</v>
      </c>
      <c r="G17" s="566" t="s">
        <v>1912</v>
      </c>
      <c r="H17" s="566" t="s">
        <v>1932</v>
      </c>
      <c r="I17" s="534" t="s">
        <v>654</v>
      </c>
      <c r="M17" s="260" t="s">
        <v>380</v>
      </c>
      <c r="N17" s="260" t="s">
        <v>805</v>
      </c>
      <c r="O17" s="266">
        <v>0.85</v>
      </c>
      <c r="P17" s="261" t="s">
        <v>795</v>
      </c>
      <c r="Q17" s="262" t="s">
        <v>993</v>
      </c>
      <c r="R17" s="260" t="s">
        <v>992</v>
      </c>
      <c r="S17" s="260" t="s">
        <v>994</v>
      </c>
      <c r="T17" s="264" t="s">
        <v>995</v>
      </c>
    </row>
    <row r="18" spans="1:20" ht="60">
      <c r="A18" s="535" t="s">
        <v>1183</v>
      </c>
      <c r="B18" s="536" t="s">
        <v>1348</v>
      </c>
      <c r="C18" s="528" t="s">
        <v>2039</v>
      </c>
      <c r="D18" s="598"/>
      <c r="E18" s="527" t="s">
        <v>277</v>
      </c>
      <c r="F18" s="567" t="s">
        <v>1913</v>
      </c>
      <c r="G18" s="567" t="s">
        <v>1914</v>
      </c>
      <c r="H18" s="567" t="s">
        <v>1933</v>
      </c>
      <c r="I18" s="537" t="s">
        <v>1223</v>
      </c>
      <c r="M18" s="255" t="s">
        <v>810</v>
      </c>
      <c r="N18" s="255" t="s">
        <v>812</v>
      </c>
      <c r="O18" s="267">
        <v>0.87</v>
      </c>
      <c r="P18" s="257" t="s">
        <v>381</v>
      </c>
      <c r="Q18" s="258" t="s">
        <v>998</v>
      </c>
      <c r="R18" s="255" t="s">
        <v>997</v>
      </c>
      <c r="S18" s="255" t="s">
        <v>999</v>
      </c>
      <c r="T18" s="265" t="s">
        <v>1000</v>
      </c>
    </row>
    <row r="19" spans="1:20" ht="66">
      <c r="A19" s="535" t="s">
        <v>851</v>
      </c>
      <c r="B19" s="536" t="s">
        <v>1360</v>
      </c>
      <c r="C19" s="528" t="s">
        <v>2042</v>
      </c>
      <c r="D19" s="598"/>
      <c r="E19" s="562" t="s">
        <v>278</v>
      </c>
      <c r="F19" s="567" t="s">
        <v>1915</v>
      </c>
      <c r="G19" s="567" t="s">
        <v>1916</v>
      </c>
      <c r="H19" s="567" t="s">
        <v>1934</v>
      </c>
      <c r="I19" s="537" t="s">
        <v>1223</v>
      </c>
      <c r="M19" s="260" t="s">
        <v>810</v>
      </c>
      <c r="N19" s="260" t="s">
        <v>816</v>
      </c>
      <c r="O19" s="261" t="s">
        <v>818</v>
      </c>
      <c r="P19" s="261" t="s">
        <v>381</v>
      </c>
      <c r="Q19" s="262" t="s">
        <v>967</v>
      </c>
      <c r="R19" s="260" t="s">
        <v>1001</v>
      </c>
      <c r="S19" s="260" t="s">
        <v>1002</v>
      </c>
      <c r="T19" s="263" t="s">
        <v>1003</v>
      </c>
    </row>
    <row r="20" spans="1:20" ht="60">
      <c r="A20" s="535" t="s">
        <v>1179</v>
      </c>
      <c r="B20" s="536" t="s">
        <v>1360</v>
      </c>
      <c r="C20" s="528" t="s">
        <v>2042</v>
      </c>
      <c r="D20" s="598"/>
      <c r="E20" s="562" t="s">
        <v>278</v>
      </c>
      <c r="F20" s="567" t="s">
        <v>1917</v>
      </c>
      <c r="G20" s="567" t="s">
        <v>1918</v>
      </c>
      <c r="H20" s="567" t="s">
        <v>1935</v>
      </c>
      <c r="I20" s="537" t="s">
        <v>1223</v>
      </c>
      <c r="M20" s="255" t="s">
        <v>822</v>
      </c>
      <c r="N20" s="255" t="s">
        <v>825</v>
      </c>
      <c r="O20" s="257" t="s">
        <v>537</v>
      </c>
      <c r="P20" s="257" t="s">
        <v>824</v>
      </c>
      <c r="Q20" s="258" t="s">
        <v>1006</v>
      </c>
      <c r="R20" s="255" t="s">
        <v>1005</v>
      </c>
      <c r="S20" s="255" t="s">
        <v>1007</v>
      </c>
      <c r="T20" s="259" t="s">
        <v>1008</v>
      </c>
    </row>
    <row r="21" spans="1:20" ht="52.8">
      <c r="M21" s="260" t="s">
        <v>822</v>
      </c>
      <c r="N21" s="260" t="s">
        <v>828</v>
      </c>
      <c r="O21" s="261" t="s">
        <v>537</v>
      </c>
      <c r="P21" s="261" t="s">
        <v>824</v>
      </c>
      <c r="Q21" s="262" t="s">
        <v>1010</v>
      </c>
      <c r="R21" s="260" t="s">
        <v>1009</v>
      </c>
      <c r="S21" s="260" t="s">
        <v>1011</v>
      </c>
      <c r="T21" s="263" t="s">
        <v>1012</v>
      </c>
    </row>
    <row r="22" spans="1:20" ht="66">
      <c r="M22" s="255" t="s">
        <v>851</v>
      </c>
      <c r="N22" s="255" t="s">
        <v>853</v>
      </c>
      <c r="O22" s="257" t="s">
        <v>537</v>
      </c>
      <c r="P22" s="257" t="s">
        <v>381</v>
      </c>
      <c r="Q22" s="258" t="s">
        <v>1015</v>
      </c>
      <c r="R22" s="255" t="s">
        <v>1014</v>
      </c>
      <c r="S22" s="255" t="s">
        <v>1016</v>
      </c>
      <c r="T22" s="259" t="s">
        <v>1017</v>
      </c>
    </row>
    <row r="23" spans="1:20" ht="75">
      <c r="M23" s="260" t="s">
        <v>851</v>
      </c>
      <c r="N23" s="260" t="s">
        <v>858</v>
      </c>
      <c r="O23" s="261" t="s">
        <v>537</v>
      </c>
      <c r="P23" s="261" t="s">
        <v>381</v>
      </c>
      <c r="Q23" s="262" t="s">
        <v>1019</v>
      </c>
      <c r="R23" s="260" t="s">
        <v>1018</v>
      </c>
      <c r="S23" s="260" t="s">
        <v>1020</v>
      </c>
      <c r="T23" s="263" t="s">
        <v>1021</v>
      </c>
    </row>
    <row r="24" spans="1:20" ht="52.8">
      <c r="M24" s="255" t="s">
        <v>1023</v>
      </c>
      <c r="N24" s="255" t="s">
        <v>864</v>
      </c>
      <c r="O24" s="257" t="s">
        <v>537</v>
      </c>
      <c r="P24" s="257" t="s">
        <v>738</v>
      </c>
      <c r="Q24" s="258" t="s">
        <v>1025</v>
      </c>
      <c r="R24" s="255" t="s">
        <v>1024</v>
      </c>
      <c r="S24" s="255" t="s">
        <v>1026</v>
      </c>
      <c r="T24" s="259" t="s">
        <v>1027</v>
      </c>
    </row>
    <row r="25" spans="1:20" ht="52.8">
      <c r="M25" s="268" t="s">
        <v>1023</v>
      </c>
      <c r="N25" s="268" t="s">
        <v>868</v>
      </c>
      <c r="O25" s="269" t="s">
        <v>537</v>
      </c>
      <c r="P25" s="269" t="s">
        <v>738</v>
      </c>
      <c r="Q25" s="270" t="s">
        <v>1029</v>
      </c>
      <c r="R25" s="268" t="s">
        <v>1028</v>
      </c>
      <c r="S25" s="268" t="s">
        <v>1030</v>
      </c>
      <c r="T25" s="271" t="s">
        <v>1031</v>
      </c>
    </row>
    <row r="26" spans="1:20" ht="45.6" customHeight="1"/>
    <row r="27" spans="1:20" ht="45.6" customHeight="1"/>
    <row r="28" spans="1:20" ht="45.6" customHeight="1">
      <c r="F28" s="291"/>
      <c r="G28" s="291"/>
    </row>
    <row r="29" spans="1:20" ht="45.6" customHeight="1">
      <c r="M29" s="252"/>
      <c r="N29" s="252"/>
      <c r="T29" s="240"/>
    </row>
    <row r="30" spans="1:20" ht="45.6" customHeight="1">
      <c r="M30" s="52"/>
      <c r="N30" s="52"/>
      <c r="T30" s="240"/>
    </row>
    <row r="31" spans="1:20" ht="45.6" customHeight="1">
      <c r="M31" s="253"/>
      <c r="N31" s="253"/>
    </row>
    <row r="32" spans="1:20" ht="45.6" customHeight="1">
      <c r="M32" s="253"/>
      <c r="N32" s="253"/>
      <c r="T32" s="240"/>
    </row>
    <row r="33" spans="13:25" ht="45.6" customHeight="1">
      <c r="M33" s="253"/>
      <c r="N33" s="253"/>
    </row>
    <row r="34" spans="13:25" ht="45.6" customHeight="1" thickBot="1">
      <c r="M34" s="253"/>
      <c r="N34" s="253"/>
    </row>
    <row r="35" spans="13:25" ht="45.6" customHeight="1" thickBot="1">
      <c r="N35" s="251"/>
      <c r="U35" s="2"/>
      <c r="V35" s="241"/>
      <c r="W35" s="242"/>
      <c r="X35" s="242"/>
      <c r="Y35" s="242"/>
    </row>
    <row r="36" spans="13:25" ht="45.6" customHeight="1" thickBot="1">
      <c r="U36" s="2"/>
      <c r="V36" s="243"/>
      <c r="W36" s="244"/>
      <c r="X36" s="244"/>
      <c r="Y36" s="244"/>
    </row>
    <row r="37" spans="13:25" ht="45.6" customHeight="1" thickBot="1">
      <c r="U37" s="2"/>
      <c r="V37" s="243"/>
      <c r="W37" s="244"/>
      <c r="X37" s="244"/>
      <c r="Y37" s="244"/>
    </row>
    <row r="38" spans="13:25" ht="45.6" customHeight="1" thickBot="1">
      <c r="U38" s="2"/>
      <c r="V38" s="243"/>
      <c r="W38" s="244"/>
      <c r="X38" s="244"/>
      <c r="Y38" s="244"/>
    </row>
    <row r="39" spans="13:25" ht="45.6" customHeight="1"/>
    <row r="40" spans="13:25" ht="45.6" customHeight="1"/>
    <row r="41" spans="13:25" ht="45.6" customHeight="1"/>
    <row r="42" spans="13:25" ht="45.6" customHeight="1"/>
    <row r="43" spans="13:25" ht="45.6" customHeight="1"/>
    <row r="49" spans="8:8" ht="30">
      <c r="H49" s="291"/>
    </row>
    <row r="103" spans="1:6" ht="22.8">
      <c r="A103" s="902"/>
      <c r="B103" s="902"/>
      <c r="C103" s="902"/>
      <c r="D103" s="285"/>
      <c r="E103" s="292"/>
      <c r="F103" s="292"/>
    </row>
    <row r="105" spans="1:6">
      <c r="A105" s="901"/>
      <c r="B105" s="901"/>
      <c r="C105" s="901"/>
      <c r="E105" s="293"/>
      <c r="F105" s="293"/>
    </row>
    <row r="107" spans="1:6">
      <c r="A107" s="903"/>
      <c r="B107" s="903"/>
      <c r="C107" s="903"/>
      <c r="E107" s="294"/>
      <c r="F107" s="294"/>
    </row>
    <row r="109" spans="1:6">
      <c r="A109" s="900"/>
      <c r="B109" s="900"/>
      <c r="C109" s="900"/>
      <c r="D109" s="285"/>
      <c r="E109" s="275"/>
      <c r="F109" s="275"/>
    </row>
    <row r="110" spans="1:6">
      <c r="A110" s="900"/>
      <c r="B110" s="900"/>
      <c r="C110" s="900"/>
      <c r="D110" s="285"/>
      <c r="E110" s="275"/>
      <c r="F110" s="275"/>
    </row>
    <row r="111" spans="1:6">
      <c r="A111" s="900"/>
      <c r="B111" s="900"/>
      <c r="C111" s="900"/>
      <c r="D111" s="285"/>
      <c r="E111" s="275"/>
      <c r="F111" s="275"/>
    </row>
    <row r="112" spans="1:6">
      <c r="A112" s="900"/>
      <c r="B112" s="900"/>
      <c r="C112" s="900"/>
      <c r="D112" s="285"/>
      <c r="E112" s="275"/>
      <c r="F112" s="275"/>
    </row>
    <row r="113" spans="1:6">
      <c r="A113" s="900"/>
      <c r="B113" s="900"/>
      <c r="C113" s="900"/>
      <c r="D113" s="285"/>
      <c r="E113" s="275"/>
      <c r="F113" s="275"/>
    </row>
    <row r="115" spans="1:6">
      <c r="A115" s="901"/>
      <c r="B115" s="901"/>
      <c r="C115" s="901"/>
      <c r="E115" s="293"/>
      <c r="F115" s="293"/>
    </row>
  </sheetData>
  <mergeCells count="10">
    <mergeCell ref="AB2:AG2"/>
    <mergeCell ref="A111:C111"/>
    <mergeCell ref="A112:C112"/>
    <mergeCell ref="A113:C113"/>
    <mergeCell ref="A115:C115"/>
    <mergeCell ref="A103:C103"/>
    <mergeCell ref="A105:C105"/>
    <mergeCell ref="A107:C107"/>
    <mergeCell ref="A109:C109"/>
    <mergeCell ref="A110:C110"/>
  </mergeCells>
  <dataValidations count="1">
    <dataValidation type="list" allowBlank="1" showInputMessage="1" showErrorMessage="1" sqref="E2:E20" xr:uid="{C67B7D65-9783-4A4E-A176-16985A045F2D}">
      <formula1>"Critical Risk, High Risk, Moderate Risk, Low Risk"</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59C65-042F-4FD5-9287-8523989DA6AA}">
  <sheetPr codeName="Sheet6">
    <tabColor theme="1" tint="0.14999847407452621"/>
  </sheetPr>
  <dimension ref="A1:AS95"/>
  <sheetViews>
    <sheetView topLeftCell="C8" zoomScale="58" zoomScaleNormal="80" workbookViewId="0">
      <selection activeCell="C9" sqref="C9"/>
    </sheetView>
  </sheetViews>
  <sheetFormatPr defaultRowHeight="13.8"/>
  <cols>
    <col min="1" max="1" width="28.77734375" style="289" customWidth="1"/>
    <col min="2" max="2" width="13.88671875" style="289" bestFit="1" customWidth="1"/>
    <col min="3" max="3" width="30.33203125" style="289" bestFit="1" customWidth="1"/>
    <col min="4" max="4" width="30.33203125" style="289" customWidth="1"/>
    <col min="5" max="5" width="28" style="289" bestFit="1" customWidth="1"/>
    <col min="6" max="6" width="65.77734375" style="274" bestFit="1" customWidth="1"/>
    <col min="7" max="7" width="44.109375" style="450" customWidth="1"/>
    <col min="8" max="8" width="35.21875" style="274" customWidth="1"/>
    <col min="9" max="9" width="29.77734375" style="274" customWidth="1"/>
    <col min="10" max="10" width="15.33203125" style="274" customWidth="1"/>
    <col min="11" max="11" width="27" style="274" hidden="1" customWidth="1"/>
    <col min="12" max="12" width="26.77734375" style="274" customWidth="1"/>
    <col min="13" max="13" width="10.33203125" style="274" customWidth="1"/>
    <col min="14" max="14" width="29.33203125" customWidth="1"/>
    <col min="15" max="15" width="22.44140625" bestFit="1" customWidth="1"/>
    <col min="16" max="16" width="29.33203125" customWidth="1"/>
    <col min="17" max="17" width="32.77734375" bestFit="1" customWidth="1"/>
    <col min="18" max="18" width="27.77734375" style="274" bestFit="1" customWidth="1"/>
    <col min="19" max="19" width="17.21875" style="274" bestFit="1" customWidth="1"/>
    <col min="20" max="20" width="30.33203125" style="274" bestFit="1" customWidth="1"/>
    <col min="21" max="21" width="31.5546875" style="287" bestFit="1" customWidth="1"/>
    <col min="22" max="22" width="76.109375" style="274" bestFit="1" customWidth="1"/>
    <col min="23" max="23" width="23.5546875" style="274" customWidth="1"/>
    <col min="24" max="24" width="11.5546875" style="274" bestFit="1" customWidth="1"/>
    <col min="25" max="25" width="13.5546875" style="274" bestFit="1" customWidth="1"/>
    <col min="26" max="26" width="19.5546875" style="274" bestFit="1" customWidth="1"/>
    <col min="27" max="27" width="16.109375" style="274" bestFit="1" customWidth="1"/>
    <col min="28" max="28" width="21.21875" style="274" bestFit="1" customWidth="1"/>
    <col min="29" max="29" width="73.21875" style="274" bestFit="1" customWidth="1"/>
    <col min="30" max="30" width="26.77734375" bestFit="1" customWidth="1"/>
    <col min="31" max="31" width="34.5546875" bestFit="1" customWidth="1"/>
    <col min="32" max="32" width="32.77734375" bestFit="1" customWidth="1"/>
    <col min="33" max="33" width="23.109375" bestFit="1" customWidth="1"/>
    <col min="34" max="34" width="16.33203125" bestFit="1" customWidth="1"/>
    <col min="35" max="35" width="12.33203125" customWidth="1"/>
    <col min="36" max="36" width="29.5546875" bestFit="1" customWidth="1"/>
    <col min="37" max="45" width="31.44140625" customWidth="1"/>
    <col min="46" max="46" width="26.109375" customWidth="1"/>
    <col min="47" max="47" width="22" customWidth="1"/>
    <col min="48" max="48" width="31.33203125" customWidth="1"/>
    <col min="49" max="49" width="40.77734375" customWidth="1"/>
    <col min="50" max="50" width="16.77734375" customWidth="1"/>
    <col min="16354" max="16354" width="9.109375" customWidth="1"/>
  </cols>
  <sheetData>
    <row r="1" spans="1:45" ht="17.399999999999999">
      <c r="B1" s="591"/>
      <c r="C1" s="592"/>
      <c r="D1" s="592"/>
      <c r="E1" s="592"/>
      <c r="F1" s="592"/>
      <c r="G1" s="592"/>
    </row>
    <row r="2" spans="1:45" ht="17.399999999999999">
      <c r="A2"/>
      <c r="B2" s="591"/>
      <c r="C2" s="592"/>
      <c r="D2" s="592"/>
      <c r="E2" s="592"/>
      <c r="F2" s="592"/>
      <c r="G2" s="592"/>
      <c r="H2"/>
      <c r="I2"/>
      <c r="J2"/>
      <c r="K2"/>
      <c r="L2"/>
      <c r="M2"/>
    </row>
    <row r="3" spans="1:45" ht="23.25" customHeight="1">
      <c r="A3" s="904" t="s">
        <v>1088</v>
      </c>
      <c r="B3" s="904"/>
      <c r="C3" s="904"/>
      <c r="D3" s="904"/>
      <c r="E3" s="904"/>
      <c r="F3" s="904"/>
      <c r="G3" s="904"/>
      <c r="H3" s="904"/>
      <c r="I3" s="904"/>
      <c r="J3" s="904"/>
      <c r="K3" s="904"/>
      <c r="L3" s="904"/>
      <c r="M3" s="904"/>
      <c r="N3" s="252"/>
      <c r="O3" s="252"/>
      <c r="P3" s="252"/>
      <c r="Q3" s="252"/>
      <c r="R3"/>
      <c r="S3"/>
      <c r="T3"/>
      <c r="U3"/>
      <c r="V3"/>
      <c r="W3"/>
      <c r="X3"/>
      <c r="Y3"/>
      <c r="Z3"/>
      <c r="AA3"/>
      <c r="AB3"/>
      <c r="AC3"/>
      <c r="AK3" s="517" t="s">
        <v>1534</v>
      </c>
      <c r="AL3" s="438"/>
      <c r="AM3" s="438"/>
      <c r="AN3" s="438"/>
      <c r="AO3" s="438"/>
      <c r="AP3" s="438"/>
      <c r="AQ3" s="438"/>
      <c r="AR3" s="438"/>
      <c r="AS3" s="438"/>
    </row>
    <row r="4" spans="1:45">
      <c r="AK4" s="518"/>
      <c r="AL4" s="438"/>
      <c r="AM4" s="438"/>
      <c r="AN4" s="438"/>
      <c r="AO4" s="438"/>
      <c r="AP4" s="438"/>
      <c r="AQ4" s="438"/>
      <c r="AR4" s="438"/>
      <c r="AS4" s="438"/>
    </row>
    <row r="5" spans="1:45" s="274" customFormat="1" ht="31.8" thickBot="1">
      <c r="A5" s="288" t="s">
        <v>10</v>
      </c>
      <c r="B5" s="288" t="s">
        <v>1089</v>
      </c>
      <c r="C5" s="288" t="s">
        <v>1086</v>
      </c>
      <c r="D5" s="288" t="s">
        <v>1970</v>
      </c>
      <c r="E5" s="288" t="s">
        <v>1119</v>
      </c>
      <c r="F5" s="281" t="s">
        <v>731</v>
      </c>
      <c r="G5" s="454" t="s">
        <v>1079</v>
      </c>
      <c r="H5" s="281" t="s">
        <v>275</v>
      </c>
      <c r="I5" s="281" t="s">
        <v>352</v>
      </c>
      <c r="J5" s="281" t="s">
        <v>279</v>
      </c>
      <c r="K5" s="283" t="s">
        <v>1151</v>
      </c>
      <c r="L5" s="286" t="s">
        <v>1157</v>
      </c>
      <c r="M5" s="284" t="s">
        <v>1152</v>
      </c>
      <c r="N5" s="302" t="s">
        <v>1494</v>
      </c>
      <c r="O5" s="516" t="s">
        <v>873</v>
      </c>
      <c r="P5" s="302" t="s">
        <v>732</v>
      </c>
      <c r="R5" s="281" t="s">
        <v>1087</v>
      </c>
      <c r="S5" s="281" t="s">
        <v>1881</v>
      </c>
      <c r="T5" s="281" t="s">
        <v>394</v>
      </c>
      <c r="U5" s="520" t="s">
        <v>1119</v>
      </c>
      <c r="V5" s="281" t="s">
        <v>729</v>
      </c>
      <c r="W5" s="281" t="s">
        <v>1114</v>
      </c>
      <c r="X5" s="281" t="s">
        <v>1079</v>
      </c>
      <c r="Y5" s="281" t="s">
        <v>275</v>
      </c>
      <c r="Z5" s="281" t="s">
        <v>352</v>
      </c>
      <c r="AA5" s="281" t="s">
        <v>279</v>
      </c>
      <c r="AB5" s="520" t="s">
        <v>730</v>
      </c>
      <c r="AC5" s="281" t="s">
        <v>1215</v>
      </c>
      <c r="AD5" s="281" t="s">
        <v>1145</v>
      </c>
      <c r="AE5" s="281" t="s">
        <v>1146</v>
      </c>
      <c r="AF5" s="520" t="s">
        <v>1147</v>
      </c>
      <c r="AG5" s="282" t="s">
        <v>1148</v>
      </c>
      <c r="AK5" s="519" t="s">
        <v>1089</v>
      </c>
      <c r="AL5" s="519" t="s">
        <v>1535</v>
      </c>
      <c r="AM5" s="519" t="s">
        <v>731</v>
      </c>
      <c r="AN5" s="519" t="s">
        <v>1157</v>
      </c>
      <c r="AO5" s="519" t="s">
        <v>1536</v>
      </c>
      <c r="AP5" s="519" t="s">
        <v>1537</v>
      </c>
      <c r="AQ5" s="519" t="s">
        <v>1538</v>
      </c>
      <c r="AR5" s="519" t="s">
        <v>1539</v>
      </c>
      <c r="AS5" s="519" t="s">
        <v>342</v>
      </c>
    </row>
    <row r="6" spans="1:45" ht="144">
      <c r="A6" s="109" t="s">
        <v>1320</v>
      </c>
      <c r="B6" s="109" t="s">
        <v>1319</v>
      </c>
      <c r="C6" s="109" t="s">
        <v>1330</v>
      </c>
      <c r="D6" s="109" t="s">
        <v>1973</v>
      </c>
      <c r="E6" s="109" t="s">
        <v>1331</v>
      </c>
      <c r="F6" s="92" t="s">
        <v>2018</v>
      </c>
      <c r="G6" s="109" t="s">
        <v>1080</v>
      </c>
      <c r="H6" s="109" t="s">
        <v>1306</v>
      </c>
      <c r="I6" s="109" t="s">
        <v>1305</v>
      </c>
      <c r="J6" s="109" t="s">
        <v>1304</v>
      </c>
      <c r="K6" s="438"/>
      <c r="L6" s="92" t="s">
        <v>1525</v>
      </c>
      <c r="M6" s="303">
        <v>0.63</v>
      </c>
      <c r="N6" s="109" t="s">
        <v>1505</v>
      </c>
      <c r="O6" s="109" t="s">
        <v>876</v>
      </c>
      <c r="P6" s="109" t="s">
        <v>1495</v>
      </c>
      <c r="R6" s="109" t="s">
        <v>1216</v>
      </c>
      <c r="S6" s="109" t="s">
        <v>1091</v>
      </c>
      <c r="T6" s="109" t="s">
        <v>667</v>
      </c>
      <c r="U6" s="453" t="s">
        <v>1572</v>
      </c>
      <c r="V6" s="109" t="s">
        <v>735</v>
      </c>
      <c r="W6" s="109" t="s">
        <v>1371</v>
      </c>
      <c r="X6" s="109" t="s">
        <v>1080</v>
      </c>
      <c r="Y6" s="109" t="s">
        <v>696</v>
      </c>
      <c r="Z6" s="109" t="s">
        <v>1149</v>
      </c>
      <c r="AA6" s="109" t="s">
        <v>383</v>
      </c>
      <c r="AB6" s="262" t="s">
        <v>1317</v>
      </c>
      <c r="AC6" s="109" t="s">
        <v>1370</v>
      </c>
      <c r="AD6" s="109" t="s">
        <v>874</v>
      </c>
      <c r="AE6" s="109" t="s">
        <v>1372</v>
      </c>
      <c r="AF6" s="92" t="s">
        <v>1616</v>
      </c>
      <c r="AG6" s="303">
        <v>0.86</v>
      </c>
      <c r="AK6" s="262" t="s">
        <v>1319</v>
      </c>
      <c r="AL6" s="109" t="s">
        <v>1330</v>
      </c>
      <c r="AM6" s="109" t="s">
        <v>1332</v>
      </c>
      <c r="AN6" s="109" t="s">
        <v>1515</v>
      </c>
      <c r="AO6" s="262" t="s">
        <v>1540</v>
      </c>
      <c r="AP6" s="262" t="s">
        <v>1541</v>
      </c>
      <c r="AQ6" s="92" t="s">
        <v>1957</v>
      </c>
      <c r="AR6" s="262" t="s">
        <v>1542</v>
      </c>
      <c r="AS6" s="303">
        <v>0.63</v>
      </c>
    </row>
    <row r="7" spans="1:45" ht="144">
      <c r="A7" s="109" t="s">
        <v>1314</v>
      </c>
      <c r="B7" s="109" t="s">
        <v>1313</v>
      </c>
      <c r="C7" s="109" t="s">
        <v>1333</v>
      </c>
      <c r="D7" s="109" t="s">
        <v>1973</v>
      </c>
      <c r="E7" s="109" t="s">
        <v>1334</v>
      </c>
      <c r="F7" s="92" t="s">
        <v>2019</v>
      </c>
      <c r="G7" s="109" t="s">
        <v>1080</v>
      </c>
      <c r="H7" s="109" t="s">
        <v>824</v>
      </c>
      <c r="I7" s="109" t="s">
        <v>1167</v>
      </c>
      <c r="J7" s="109" t="s">
        <v>1168</v>
      </c>
      <c r="K7" s="52"/>
      <c r="L7" s="92" t="s">
        <v>1526</v>
      </c>
      <c r="M7" s="303">
        <v>0.62</v>
      </c>
      <c r="N7" s="109" t="s">
        <v>1506</v>
      </c>
      <c r="O7" s="109" t="s">
        <v>874</v>
      </c>
      <c r="P7" s="109" t="s">
        <v>1496</v>
      </c>
      <c r="R7" s="109" t="s">
        <v>1216</v>
      </c>
      <c r="S7" s="109" t="s">
        <v>1092</v>
      </c>
      <c r="T7" s="109" t="s">
        <v>1373</v>
      </c>
      <c r="U7" s="521" t="s">
        <v>1573</v>
      </c>
      <c r="V7" s="109" t="s">
        <v>1374</v>
      </c>
      <c r="W7" s="109" t="s">
        <v>1375</v>
      </c>
      <c r="X7" s="109" t="s">
        <v>1080</v>
      </c>
      <c r="Y7" s="109" t="s">
        <v>696</v>
      </c>
      <c r="Z7" s="109" t="s">
        <v>1118</v>
      </c>
      <c r="AA7" s="109" t="s">
        <v>1117</v>
      </c>
      <c r="AB7" s="262" t="s">
        <v>1307</v>
      </c>
      <c r="AC7" s="109" t="s">
        <v>1330</v>
      </c>
      <c r="AD7" s="109" t="s">
        <v>874</v>
      </c>
      <c r="AE7" s="109" t="s">
        <v>1376</v>
      </c>
      <c r="AF7" s="92" t="s">
        <v>1617</v>
      </c>
      <c r="AG7" s="303">
        <v>0.8</v>
      </c>
      <c r="AK7" s="262" t="s">
        <v>1313</v>
      </c>
      <c r="AL7" s="109" t="s">
        <v>1333</v>
      </c>
      <c r="AM7" s="109" t="s">
        <v>1335</v>
      </c>
      <c r="AN7" s="109" t="s">
        <v>1516</v>
      </c>
      <c r="AO7" s="262" t="s">
        <v>1543</v>
      </c>
      <c r="AP7" s="262" t="s">
        <v>1544</v>
      </c>
      <c r="AQ7" s="92" t="s">
        <v>1570</v>
      </c>
      <c r="AR7" s="262" t="s">
        <v>1545</v>
      </c>
      <c r="AS7" s="303">
        <v>0.62</v>
      </c>
    </row>
    <row r="8" spans="1:45" ht="144">
      <c r="A8" s="109" t="s">
        <v>1316</v>
      </c>
      <c r="B8" s="109" t="s">
        <v>1315</v>
      </c>
      <c r="C8" s="109" t="s">
        <v>1336</v>
      </c>
      <c r="D8" s="109" t="s">
        <v>1973</v>
      </c>
      <c r="E8" s="109" t="s">
        <v>1337</v>
      </c>
      <c r="F8" s="92" t="s">
        <v>2020</v>
      </c>
      <c r="G8" s="109" t="s">
        <v>1080</v>
      </c>
      <c r="H8" s="109" t="s">
        <v>824</v>
      </c>
      <c r="I8" s="109" t="s">
        <v>1167</v>
      </c>
      <c r="J8" s="109" t="s">
        <v>1168</v>
      </c>
      <c r="K8" s="438"/>
      <c r="L8" s="92" t="s">
        <v>1527</v>
      </c>
      <c r="M8" s="303">
        <v>0.59</v>
      </c>
      <c r="N8" s="109" t="s">
        <v>1507</v>
      </c>
      <c r="O8" s="109" t="s">
        <v>874</v>
      </c>
      <c r="P8" s="109" t="s">
        <v>1497</v>
      </c>
      <c r="R8" s="109" t="s">
        <v>1216</v>
      </c>
      <c r="S8" s="109" t="s">
        <v>1093</v>
      </c>
      <c r="T8" s="109" t="s">
        <v>1377</v>
      </c>
      <c r="U8" s="521" t="s">
        <v>1574</v>
      </c>
      <c r="V8" s="109" t="s">
        <v>1378</v>
      </c>
      <c r="W8" s="109" t="s">
        <v>1379</v>
      </c>
      <c r="X8" s="109" t="s">
        <v>1080</v>
      </c>
      <c r="Y8" s="109" t="s">
        <v>1380</v>
      </c>
      <c r="Z8" s="109" t="s">
        <v>1381</v>
      </c>
      <c r="AA8" s="109" t="s">
        <v>1115</v>
      </c>
      <c r="AB8" s="109" t="s">
        <v>1882</v>
      </c>
      <c r="AC8" s="109" t="s">
        <v>1330</v>
      </c>
      <c r="AD8" s="109" t="s">
        <v>874</v>
      </c>
      <c r="AE8" s="109" t="s">
        <v>1382</v>
      </c>
      <c r="AF8" s="109" t="s">
        <v>1614</v>
      </c>
      <c r="AG8" s="303">
        <v>7.0000000000000007E-2</v>
      </c>
      <c r="AK8" s="262" t="s">
        <v>1315</v>
      </c>
      <c r="AL8" s="109" t="s">
        <v>1336</v>
      </c>
      <c r="AM8" s="109" t="s">
        <v>1338</v>
      </c>
      <c r="AN8" s="109" t="s">
        <v>1517</v>
      </c>
      <c r="AO8" s="262" t="s">
        <v>1546</v>
      </c>
      <c r="AP8" s="262" t="s">
        <v>1547</v>
      </c>
      <c r="AQ8" s="92" t="s">
        <v>1571</v>
      </c>
      <c r="AR8" s="262" t="s">
        <v>1548</v>
      </c>
      <c r="AS8" s="303">
        <v>0.59</v>
      </c>
    </row>
    <row r="9" spans="1:45" ht="144">
      <c r="A9" s="109" t="s">
        <v>1318</v>
      </c>
      <c r="B9" s="109" t="s">
        <v>1317</v>
      </c>
      <c r="C9" s="109" t="s">
        <v>1339</v>
      </c>
      <c r="D9" s="109" t="s">
        <v>1973</v>
      </c>
      <c r="E9" s="109" t="s">
        <v>1340</v>
      </c>
      <c r="F9" s="92" t="s">
        <v>2021</v>
      </c>
      <c r="G9" s="109" t="s">
        <v>1080</v>
      </c>
      <c r="H9" s="109" t="s">
        <v>824</v>
      </c>
      <c r="I9" s="109" t="s">
        <v>1167</v>
      </c>
      <c r="J9" s="109" t="s">
        <v>1168</v>
      </c>
      <c r="K9" s="438"/>
      <c r="L9" s="92" t="s">
        <v>1528</v>
      </c>
      <c r="M9" s="303">
        <v>0.51</v>
      </c>
      <c r="N9" s="109" t="s">
        <v>1508</v>
      </c>
      <c r="O9" s="109" t="s">
        <v>876</v>
      </c>
      <c r="P9" s="109" t="s">
        <v>1498</v>
      </c>
      <c r="R9" s="109" t="s">
        <v>1216</v>
      </c>
      <c r="S9" s="109" t="s">
        <v>1094</v>
      </c>
      <c r="T9" s="109" t="s">
        <v>1101</v>
      </c>
      <c r="U9" s="521" t="s">
        <v>1575</v>
      </c>
      <c r="V9" s="109" t="s">
        <v>1102</v>
      </c>
      <c r="W9" s="109" t="s">
        <v>1383</v>
      </c>
      <c r="X9" s="109" t="s">
        <v>1080</v>
      </c>
      <c r="Y9" s="109" t="s">
        <v>1218</v>
      </c>
      <c r="Z9" s="109" t="s">
        <v>1219</v>
      </c>
      <c r="AA9" s="109" t="s">
        <v>1220</v>
      </c>
      <c r="AB9" s="109" t="s">
        <v>1882</v>
      </c>
      <c r="AC9" s="109" t="s">
        <v>1330</v>
      </c>
      <c r="AD9" s="109" t="s">
        <v>874</v>
      </c>
      <c r="AE9" s="109" t="s">
        <v>1104</v>
      </c>
      <c r="AF9" s="92" t="s">
        <v>1618</v>
      </c>
      <c r="AG9" s="303">
        <v>0.04</v>
      </c>
      <c r="AK9" s="262" t="s">
        <v>1317</v>
      </c>
      <c r="AL9" s="109" t="s">
        <v>1339</v>
      </c>
      <c r="AM9" s="109" t="s">
        <v>1341</v>
      </c>
      <c r="AN9" s="109" t="s">
        <v>1518</v>
      </c>
      <c r="AO9" s="262" t="s">
        <v>1549</v>
      </c>
      <c r="AP9" s="262" t="s">
        <v>1550</v>
      </c>
      <c r="AQ9" s="109" t="s">
        <v>1364</v>
      </c>
      <c r="AR9" s="262" t="s">
        <v>1551</v>
      </c>
      <c r="AS9" s="303">
        <v>0.51</v>
      </c>
    </row>
    <row r="10" spans="1:45" ht="144">
      <c r="A10" s="109" t="s">
        <v>1308</v>
      </c>
      <c r="B10" s="109" t="s">
        <v>1307</v>
      </c>
      <c r="C10" s="109" t="s">
        <v>1342</v>
      </c>
      <c r="D10" s="109" t="s">
        <v>1972</v>
      </c>
      <c r="E10" s="109" t="s">
        <v>1343</v>
      </c>
      <c r="F10" s="92" t="s">
        <v>2022</v>
      </c>
      <c r="G10" s="109" t="s">
        <v>1080</v>
      </c>
      <c r="H10" s="109" t="s">
        <v>824</v>
      </c>
      <c r="I10" s="109" t="s">
        <v>1167</v>
      </c>
      <c r="J10" s="109" t="s">
        <v>1168</v>
      </c>
      <c r="K10" s="438"/>
      <c r="L10" s="92" t="s">
        <v>1529</v>
      </c>
      <c r="M10" s="303">
        <v>0.59</v>
      </c>
      <c r="N10" s="109" t="s">
        <v>1509</v>
      </c>
      <c r="O10" s="109" t="s">
        <v>874</v>
      </c>
      <c r="P10" s="109" t="s">
        <v>1499</v>
      </c>
      <c r="R10" s="109" t="s">
        <v>1216</v>
      </c>
      <c r="S10" s="109" t="s">
        <v>1169</v>
      </c>
      <c r="T10" s="109" t="s">
        <v>1384</v>
      </c>
      <c r="U10" s="521" t="s">
        <v>1576</v>
      </c>
      <c r="V10" s="109" t="s">
        <v>1385</v>
      </c>
      <c r="W10" s="109" t="s">
        <v>1386</v>
      </c>
      <c r="X10" s="109" t="s">
        <v>1080</v>
      </c>
      <c r="Y10" s="109" t="s">
        <v>1207</v>
      </c>
      <c r="Z10" s="109" t="s">
        <v>1387</v>
      </c>
      <c r="AA10" s="109" t="s">
        <v>1206</v>
      </c>
      <c r="AB10" s="262" t="s">
        <v>1307</v>
      </c>
      <c r="AC10" s="109" t="s">
        <v>1330</v>
      </c>
      <c r="AD10" s="109" t="s">
        <v>874</v>
      </c>
      <c r="AE10" s="109" t="s">
        <v>1388</v>
      </c>
      <c r="AF10" s="92" t="s">
        <v>1619</v>
      </c>
      <c r="AG10" s="303">
        <v>0.49</v>
      </c>
      <c r="AK10" s="262" t="s">
        <v>1307</v>
      </c>
      <c r="AL10" s="109" t="s">
        <v>1342</v>
      </c>
      <c r="AM10" s="109" t="s">
        <v>1344</v>
      </c>
      <c r="AN10" s="109" t="s">
        <v>1519</v>
      </c>
      <c r="AO10" s="262" t="s">
        <v>1552</v>
      </c>
      <c r="AP10" s="262" t="s">
        <v>1553</v>
      </c>
      <c r="AQ10" s="109" t="s">
        <v>1365</v>
      </c>
      <c r="AR10" s="262" t="s">
        <v>1554</v>
      </c>
      <c r="AS10" s="303">
        <v>0.59</v>
      </c>
    </row>
    <row r="11" spans="1:45" ht="144">
      <c r="A11" s="109" t="s">
        <v>1310</v>
      </c>
      <c r="B11" s="109" t="s">
        <v>1309</v>
      </c>
      <c r="C11" s="109" t="s">
        <v>1345</v>
      </c>
      <c r="D11" s="109" t="s">
        <v>1971</v>
      </c>
      <c r="E11" s="109" t="s">
        <v>1346</v>
      </c>
      <c r="F11" s="92" t="s">
        <v>2023</v>
      </c>
      <c r="G11" s="109" t="s">
        <v>1080</v>
      </c>
      <c r="H11" s="109" t="s">
        <v>824</v>
      </c>
      <c r="I11" s="109" t="s">
        <v>1167</v>
      </c>
      <c r="J11" s="109" t="s">
        <v>1168</v>
      </c>
      <c r="K11" s="438"/>
      <c r="L11" s="92" t="s">
        <v>1530</v>
      </c>
      <c r="M11" s="303">
        <v>0.56000000000000005</v>
      </c>
      <c r="N11" s="109" t="s">
        <v>1510</v>
      </c>
      <c r="O11" s="109" t="s">
        <v>874</v>
      </c>
      <c r="P11" s="109" t="s">
        <v>1500</v>
      </c>
      <c r="R11" s="109" t="s">
        <v>1216</v>
      </c>
      <c r="S11" s="109" t="s">
        <v>1208</v>
      </c>
      <c r="T11" s="109" t="s">
        <v>1209</v>
      </c>
      <c r="U11" s="521" t="s">
        <v>1577</v>
      </c>
      <c r="V11" s="109" t="s">
        <v>1210</v>
      </c>
      <c r="W11" s="109" t="s">
        <v>1389</v>
      </c>
      <c r="X11" s="109" t="s">
        <v>1080</v>
      </c>
      <c r="Y11" s="109" t="s">
        <v>1068</v>
      </c>
      <c r="Z11" s="109" t="s">
        <v>1069</v>
      </c>
      <c r="AA11" s="109" t="s">
        <v>1070</v>
      </c>
      <c r="AB11" s="262" t="s">
        <v>1319</v>
      </c>
      <c r="AC11" s="109" t="s">
        <v>1330</v>
      </c>
      <c r="AD11" s="109" t="s">
        <v>874</v>
      </c>
      <c r="AE11" s="109" t="s">
        <v>1390</v>
      </c>
      <c r="AF11" s="92" t="s">
        <v>1613</v>
      </c>
      <c r="AG11" s="303">
        <v>1.04</v>
      </c>
      <c r="AK11" s="262" t="s">
        <v>1309</v>
      </c>
      <c r="AL11" s="109" t="s">
        <v>1345</v>
      </c>
      <c r="AM11" s="109" t="s">
        <v>1347</v>
      </c>
      <c r="AN11" s="109" t="s">
        <v>1520</v>
      </c>
      <c r="AO11" s="262" t="s">
        <v>1555</v>
      </c>
      <c r="AP11" s="262" t="s">
        <v>1556</v>
      </c>
      <c r="AQ11" s="109" t="s">
        <v>1366</v>
      </c>
      <c r="AR11" s="262" t="s">
        <v>1557</v>
      </c>
      <c r="AS11" s="303">
        <v>0.56000000000000005</v>
      </c>
    </row>
    <row r="12" spans="1:45" ht="144">
      <c r="A12" s="109" t="s">
        <v>1223</v>
      </c>
      <c r="B12" s="109" t="s">
        <v>1311</v>
      </c>
      <c r="C12" s="109" t="s">
        <v>1348</v>
      </c>
      <c r="D12" s="109" t="s">
        <v>1972</v>
      </c>
      <c r="E12" s="109" t="s">
        <v>1349</v>
      </c>
      <c r="F12" s="92" t="s">
        <v>2024</v>
      </c>
      <c r="G12" s="109" t="s">
        <v>1080</v>
      </c>
      <c r="H12" s="109" t="s">
        <v>824</v>
      </c>
      <c r="I12" s="109" t="s">
        <v>1167</v>
      </c>
      <c r="J12" s="109" t="s">
        <v>1168</v>
      </c>
      <c r="K12" s="438"/>
      <c r="L12" s="92" t="s">
        <v>1531</v>
      </c>
      <c r="M12" s="303">
        <v>0.71</v>
      </c>
      <c r="N12" s="109" t="s">
        <v>1511</v>
      </c>
      <c r="O12" s="109" t="s">
        <v>874</v>
      </c>
      <c r="P12" s="109" t="s">
        <v>1501</v>
      </c>
      <c r="R12" s="109" t="s">
        <v>1216</v>
      </c>
      <c r="S12" s="109" t="s">
        <v>1211</v>
      </c>
      <c r="T12" s="109" t="s">
        <v>1212</v>
      </c>
      <c r="U12" s="521" t="s">
        <v>1578</v>
      </c>
      <c r="V12" s="109" t="s">
        <v>1213</v>
      </c>
      <c r="W12" s="109" t="s">
        <v>1391</v>
      </c>
      <c r="X12" s="109" t="s">
        <v>1080</v>
      </c>
      <c r="Y12" s="109" t="s">
        <v>1068</v>
      </c>
      <c r="Z12" s="109" t="s">
        <v>1069</v>
      </c>
      <c r="AA12" s="109" t="s">
        <v>1070</v>
      </c>
      <c r="AB12" s="262" t="s">
        <v>1317</v>
      </c>
      <c r="AC12" s="109" t="s">
        <v>1339</v>
      </c>
      <c r="AD12" s="109" t="s">
        <v>874</v>
      </c>
      <c r="AE12" s="109" t="s">
        <v>1214</v>
      </c>
      <c r="AF12" s="92" t="s">
        <v>1620</v>
      </c>
      <c r="AG12" s="303">
        <v>1.06</v>
      </c>
      <c r="AK12" s="262" t="s">
        <v>1311</v>
      </c>
      <c r="AL12" s="109" t="s">
        <v>1348</v>
      </c>
      <c r="AM12" s="109" t="s">
        <v>1350</v>
      </c>
      <c r="AN12" s="109" t="s">
        <v>1521</v>
      </c>
      <c r="AO12" s="262" t="s">
        <v>1558</v>
      </c>
      <c r="AP12" s="262" t="s">
        <v>1559</v>
      </c>
      <c r="AQ12" s="109" t="s">
        <v>1367</v>
      </c>
      <c r="AR12" s="262" t="s">
        <v>1560</v>
      </c>
      <c r="AS12" s="303">
        <v>0.71</v>
      </c>
    </row>
    <row r="13" spans="1:45" ht="144">
      <c r="A13" s="109" t="s">
        <v>1351</v>
      </c>
      <c r="B13" s="109" t="s">
        <v>1312</v>
      </c>
      <c r="C13" s="109" t="s">
        <v>1352</v>
      </c>
      <c r="D13" s="109" t="s">
        <v>1972</v>
      </c>
      <c r="E13" s="109" t="s">
        <v>1353</v>
      </c>
      <c r="F13" s="92" t="s">
        <v>1974</v>
      </c>
      <c r="G13" s="109" t="s">
        <v>1080</v>
      </c>
      <c r="H13" s="109" t="s">
        <v>824</v>
      </c>
      <c r="I13" s="109" t="s">
        <v>1167</v>
      </c>
      <c r="J13" s="109" t="s">
        <v>1168</v>
      </c>
      <c r="K13" s="438"/>
      <c r="L13" s="92" t="s">
        <v>1958</v>
      </c>
      <c r="M13" s="303">
        <v>0.83</v>
      </c>
      <c r="N13" s="109" t="s">
        <v>1512</v>
      </c>
      <c r="O13" s="109" t="s">
        <v>876</v>
      </c>
      <c r="P13" s="109" t="s">
        <v>1502</v>
      </c>
      <c r="R13" s="109" t="s">
        <v>1216</v>
      </c>
      <c r="S13" s="109" t="s">
        <v>1163</v>
      </c>
      <c r="T13" s="109" t="s">
        <v>1164</v>
      </c>
      <c r="U13" s="521" t="s">
        <v>1579</v>
      </c>
      <c r="V13" s="109" t="s">
        <v>1165</v>
      </c>
      <c r="W13" s="109" t="s">
        <v>1392</v>
      </c>
      <c r="X13" s="109" t="s">
        <v>1080</v>
      </c>
      <c r="Y13" s="109" t="s">
        <v>273</v>
      </c>
      <c r="Z13" s="109" t="s">
        <v>1073</v>
      </c>
      <c r="AA13" s="109" t="s">
        <v>1074</v>
      </c>
      <c r="AB13" s="262" t="s">
        <v>1319</v>
      </c>
      <c r="AC13" s="109" t="s">
        <v>1330</v>
      </c>
      <c r="AD13" s="109" t="s">
        <v>874</v>
      </c>
      <c r="AE13" s="109" t="s">
        <v>1166</v>
      </c>
      <c r="AF13" s="92" t="s">
        <v>1621</v>
      </c>
      <c r="AG13" s="304">
        <v>4.5999999999999999E-2</v>
      </c>
      <c r="AK13" s="262" t="s">
        <v>1312</v>
      </c>
      <c r="AL13" s="109" t="s">
        <v>1352</v>
      </c>
      <c r="AM13" s="109" t="s">
        <v>1354</v>
      </c>
      <c r="AN13" s="109" t="s">
        <v>1522</v>
      </c>
      <c r="AO13" s="262" t="s">
        <v>1561</v>
      </c>
      <c r="AP13" s="262" t="s">
        <v>1562</v>
      </c>
      <c r="AQ13" s="92" t="s">
        <v>1368</v>
      </c>
      <c r="AR13" s="262" t="s">
        <v>1563</v>
      </c>
      <c r="AS13" s="303">
        <v>0.83</v>
      </c>
    </row>
    <row r="14" spans="1:45" ht="144">
      <c r="A14" s="109" t="s">
        <v>1355</v>
      </c>
      <c r="B14" s="109" t="s">
        <v>1303</v>
      </c>
      <c r="C14" s="109" t="s">
        <v>1356</v>
      </c>
      <c r="D14" s="92" t="s">
        <v>1972</v>
      </c>
      <c r="E14" s="109" t="s">
        <v>1357</v>
      </c>
      <c r="F14" s="92" t="s">
        <v>2025</v>
      </c>
      <c r="G14" s="109" t="s">
        <v>1080</v>
      </c>
      <c r="H14" s="109" t="s">
        <v>824</v>
      </c>
      <c r="I14" s="109" t="s">
        <v>1167</v>
      </c>
      <c r="J14" s="109" t="s">
        <v>1168</v>
      </c>
      <c r="K14" s="438"/>
      <c r="L14" s="92" t="s">
        <v>1532</v>
      </c>
      <c r="M14" s="303">
        <v>0.73</v>
      </c>
      <c r="N14" s="109" t="s">
        <v>1513</v>
      </c>
      <c r="O14" s="109" t="s">
        <v>874</v>
      </c>
      <c r="P14" s="109" t="s">
        <v>1503</v>
      </c>
      <c r="R14" s="109" t="s">
        <v>1216</v>
      </c>
      <c r="S14" s="109" t="s">
        <v>1225</v>
      </c>
      <c r="T14" s="109" t="s">
        <v>1226</v>
      </c>
      <c r="U14" s="521" t="s">
        <v>1580</v>
      </c>
      <c r="V14" s="109" t="s">
        <v>1227</v>
      </c>
      <c r="W14" s="109" t="s">
        <v>1393</v>
      </c>
      <c r="X14" s="109" t="s">
        <v>1080</v>
      </c>
      <c r="Y14" s="109" t="s">
        <v>795</v>
      </c>
      <c r="Z14" s="109" t="s">
        <v>1228</v>
      </c>
      <c r="AA14" s="109" t="s">
        <v>1072</v>
      </c>
      <c r="AB14" s="109" t="s">
        <v>1882</v>
      </c>
      <c r="AC14" s="109" t="s">
        <v>1370</v>
      </c>
      <c r="AD14" s="109" t="s">
        <v>874</v>
      </c>
      <c r="AE14" s="109" t="s">
        <v>1229</v>
      </c>
      <c r="AF14" s="92" t="s">
        <v>1622</v>
      </c>
      <c r="AG14" s="303">
        <v>0.92</v>
      </c>
      <c r="AK14" s="262" t="s">
        <v>1303</v>
      </c>
      <c r="AL14" s="109" t="s">
        <v>1356</v>
      </c>
      <c r="AM14" s="109" t="s">
        <v>1358</v>
      </c>
      <c r="AN14" s="109" t="s">
        <v>1523</v>
      </c>
      <c r="AO14" s="262" t="s">
        <v>1564</v>
      </c>
      <c r="AP14" s="262" t="s">
        <v>1565</v>
      </c>
      <c r="AQ14" s="109" t="s">
        <v>1369</v>
      </c>
      <c r="AR14" s="262" t="s">
        <v>1566</v>
      </c>
      <c r="AS14" s="303">
        <v>0.73</v>
      </c>
    </row>
    <row r="15" spans="1:45" ht="144">
      <c r="A15" s="109" t="s">
        <v>1329</v>
      </c>
      <c r="B15" s="109" t="s">
        <v>1359</v>
      </c>
      <c r="C15" s="109" t="s">
        <v>1360</v>
      </c>
      <c r="D15" s="109" t="s">
        <v>1971</v>
      </c>
      <c r="E15" s="109" t="s">
        <v>1361</v>
      </c>
      <c r="F15" s="92" t="s">
        <v>2026</v>
      </c>
      <c r="G15" s="109" t="s">
        <v>1080</v>
      </c>
      <c r="H15" s="109" t="s">
        <v>824</v>
      </c>
      <c r="I15" s="109" t="s">
        <v>1167</v>
      </c>
      <c r="J15" s="109" t="s">
        <v>1168</v>
      </c>
      <c r="K15" s="438"/>
      <c r="L15" s="92" t="s">
        <v>1533</v>
      </c>
      <c r="M15" s="303">
        <v>0.81</v>
      </c>
      <c r="N15" s="109" t="s">
        <v>1514</v>
      </c>
      <c r="O15" s="109" t="s">
        <v>874</v>
      </c>
      <c r="P15" s="109" t="s">
        <v>1504</v>
      </c>
      <c r="R15" s="109" t="s">
        <v>1224</v>
      </c>
      <c r="S15" s="109" t="s">
        <v>1202</v>
      </c>
      <c r="T15" s="109" t="s">
        <v>1394</v>
      </c>
      <c r="U15" s="521" t="s">
        <v>1581</v>
      </c>
      <c r="V15" s="109" t="s">
        <v>1395</v>
      </c>
      <c r="W15" s="109" t="s">
        <v>1396</v>
      </c>
      <c r="X15" s="109" t="s">
        <v>1080</v>
      </c>
      <c r="Y15" s="109" t="s">
        <v>795</v>
      </c>
      <c r="Z15" s="109" t="s">
        <v>1059</v>
      </c>
      <c r="AA15" s="109" t="s">
        <v>1060</v>
      </c>
      <c r="AB15" s="109" t="s">
        <v>1882</v>
      </c>
      <c r="AC15" s="109" t="s">
        <v>1356</v>
      </c>
      <c r="AD15" s="109" t="s">
        <v>874</v>
      </c>
      <c r="AE15" s="109" t="s">
        <v>1397</v>
      </c>
      <c r="AF15" s="92" t="s">
        <v>1623</v>
      </c>
      <c r="AG15" s="303">
        <v>0.94</v>
      </c>
      <c r="AK15" s="262" t="s">
        <v>1359</v>
      </c>
      <c r="AL15" s="109" t="s">
        <v>1360</v>
      </c>
      <c r="AM15" s="109" t="s">
        <v>1362</v>
      </c>
      <c r="AN15" s="109" t="s">
        <v>1524</v>
      </c>
      <c r="AO15" s="262" t="s">
        <v>1567</v>
      </c>
      <c r="AP15" s="262" t="s">
        <v>1568</v>
      </c>
      <c r="AQ15" s="109" t="s">
        <v>1363</v>
      </c>
      <c r="AR15" s="262" t="s">
        <v>1569</v>
      </c>
      <c r="AS15" s="303">
        <v>0.81</v>
      </c>
    </row>
    <row r="16" spans="1:45" ht="26.4">
      <c r="A16" s="453"/>
      <c r="B16" s="453"/>
      <c r="C16" s="453"/>
      <c r="D16" s="453"/>
      <c r="E16" s="453"/>
      <c r="F16" s="453"/>
      <c r="G16" s="455"/>
      <c r="H16" s="109"/>
      <c r="I16" s="109"/>
      <c r="J16" s="109"/>
      <c r="K16" s="460"/>
      <c r="L16" s="109"/>
      <c r="M16" s="453"/>
      <c r="N16" s="453"/>
      <c r="O16" s="52"/>
      <c r="P16" s="52"/>
      <c r="R16" s="456" t="s">
        <v>1224</v>
      </c>
      <c r="S16" s="456" t="s">
        <v>1203</v>
      </c>
      <c r="T16" s="456" t="s">
        <v>1398</v>
      </c>
      <c r="U16" s="521" t="s">
        <v>1582</v>
      </c>
      <c r="V16" s="456" t="s">
        <v>1399</v>
      </c>
      <c r="W16" s="456" t="s">
        <v>1400</v>
      </c>
      <c r="X16" s="456" t="s">
        <v>1080</v>
      </c>
      <c r="Y16" s="456" t="s">
        <v>1158</v>
      </c>
      <c r="Z16" s="456" t="s">
        <v>1174</v>
      </c>
      <c r="AA16" s="456" t="s">
        <v>1175</v>
      </c>
      <c r="AB16" s="109" t="s">
        <v>1882</v>
      </c>
      <c r="AC16" s="456" t="s">
        <v>1356</v>
      </c>
      <c r="AD16" s="456" t="s">
        <v>1103</v>
      </c>
      <c r="AE16" s="456" t="s">
        <v>1401</v>
      </c>
      <c r="AF16" s="92" t="s">
        <v>1624</v>
      </c>
      <c r="AG16" s="457">
        <v>0.8</v>
      </c>
    </row>
    <row r="17" spans="18:45" ht="51" customHeight="1">
      <c r="R17" s="456" t="s">
        <v>1224</v>
      </c>
      <c r="S17" s="456" t="s">
        <v>1238</v>
      </c>
      <c r="T17" s="456" t="s">
        <v>1402</v>
      </c>
      <c r="U17" s="521" t="s">
        <v>1583</v>
      </c>
      <c r="V17" s="456" t="s">
        <v>1403</v>
      </c>
      <c r="W17" s="456" t="s">
        <v>1404</v>
      </c>
      <c r="X17" s="456" t="s">
        <v>1080</v>
      </c>
      <c r="Y17" s="456" t="s">
        <v>1405</v>
      </c>
      <c r="Z17" s="456" t="s">
        <v>1406</v>
      </c>
      <c r="AA17" s="456" t="s">
        <v>1407</v>
      </c>
      <c r="AB17" s="109" t="s">
        <v>1882</v>
      </c>
      <c r="AC17" s="456" t="s">
        <v>1345</v>
      </c>
      <c r="AD17" s="456" t="s">
        <v>1103</v>
      </c>
      <c r="AE17" s="456" t="s">
        <v>1408</v>
      </c>
      <c r="AF17" s="92" t="s">
        <v>1625</v>
      </c>
      <c r="AG17" s="457">
        <v>0.55000000000000004</v>
      </c>
    </row>
    <row r="18" spans="18:45" ht="51" customHeight="1">
      <c r="R18" s="456" t="s">
        <v>1224</v>
      </c>
      <c r="S18" s="456" t="s">
        <v>1099</v>
      </c>
      <c r="T18" s="456" t="s">
        <v>1409</v>
      </c>
      <c r="U18" s="521" t="s">
        <v>1584</v>
      </c>
      <c r="V18" s="456" t="s">
        <v>1410</v>
      </c>
      <c r="W18" s="456" t="s">
        <v>1411</v>
      </c>
      <c r="X18" s="456" t="s">
        <v>1080</v>
      </c>
      <c r="Y18" s="456" t="s">
        <v>381</v>
      </c>
      <c r="Z18" s="456" t="s">
        <v>382</v>
      </c>
      <c r="AA18" s="456" t="s">
        <v>383</v>
      </c>
      <c r="AB18" s="109" t="s">
        <v>1882</v>
      </c>
      <c r="AC18" s="456" t="s">
        <v>1356</v>
      </c>
      <c r="AD18" s="456" t="s">
        <v>1412</v>
      </c>
      <c r="AE18" s="456" t="s">
        <v>1413</v>
      </c>
      <c r="AF18" s="92" t="s">
        <v>1626</v>
      </c>
      <c r="AG18" s="457">
        <v>0.9</v>
      </c>
    </row>
    <row r="19" spans="18:45" ht="63.75" customHeight="1">
      <c r="R19" s="109" t="s">
        <v>1224</v>
      </c>
      <c r="S19" s="109" t="s">
        <v>1205</v>
      </c>
      <c r="T19" s="109" t="s">
        <v>1414</v>
      </c>
      <c r="U19" s="521" t="s">
        <v>1585</v>
      </c>
      <c r="V19" s="109" t="s">
        <v>1415</v>
      </c>
      <c r="W19" s="109" t="s">
        <v>1416</v>
      </c>
      <c r="X19" s="109" t="s">
        <v>1080</v>
      </c>
      <c r="Y19" s="109" t="s">
        <v>795</v>
      </c>
      <c r="Z19" s="109" t="s">
        <v>1059</v>
      </c>
      <c r="AA19" s="109" t="s">
        <v>1060</v>
      </c>
      <c r="AB19" s="109" t="s">
        <v>1882</v>
      </c>
      <c r="AC19" s="109" t="s">
        <v>1356</v>
      </c>
      <c r="AD19" s="109" t="s">
        <v>874</v>
      </c>
      <c r="AE19" s="109" t="s">
        <v>1417</v>
      </c>
      <c r="AF19" s="92" t="s">
        <v>1627</v>
      </c>
      <c r="AG19" s="303">
        <v>0.94</v>
      </c>
      <c r="AK19" s="517" t="s">
        <v>1660</v>
      </c>
      <c r="AL19" s="438"/>
      <c r="AM19" s="438"/>
      <c r="AN19" s="438"/>
      <c r="AO19" s="438"/>
      <c r="AP19" s="438"/>
      <c r="AQ19" s="438"/>
      <c r="AR19" s="438"/>
      <c r="AS19" s="438"/>
    </row>
    <row r="20" spans="18:45" ht="51" customHeight="1">
      <c r="R20" s="109" t="s">
        <v>1217</v>
      </c>
      <c r="S20" s="109" t="s">
        <v>1159</v>
      </c>
      <c r="T20" s="109" t="s">
        <v>1160</v>
      </c>
      <c r="U20" s="521" t="s">
        <v>1586</v>
      </c>
      <c r="V20" s="109" t="s">
        <v>1161</v>
      </c>
      <c r="W20" s="109" t="s">
        <v>1418</v>
      </c>
      <c r="X20" s="109" t="s">
        <v>1080</v>
      </c>
      <c r="Y20" s="109" t="s">
        <v>795</v>
      </c>
      <c r="Z20" s="109" t="s">
        <v>1059</v>
      </c>
      <c r="AA20" s="109" t="s">
        <v>1060</v>
      </c>
      <c r="AB20" s="262" t="s">
        <v>1309</v>
      </c>
      <c r="AC20" s="109" t="s">
        <v>1419</v>
      </c>
      <c r="AD20" s="109" t="s">
        <v>874</v>
      </c>
      <c r="AE20" s="109" t="s">
        <v>1162</v>
      </c>
      <c r="AF20" s="92" t="s">
        <v>1628</v>
      </c>
      <c r="AG20" s="303">
        <v>0.95</v>
      </c>
      <c r="AK20" s="518"/>
      <c r="AL20" s="438"/>
      <c r="AM20" s="438"/>
      <c r="AN20" s="438"/>
      <c r="AO20" s="438"/>
      <c r="AP20" s="438"/>
      <c r="AQ20" s="438"/>
      <c r="AR20" s="438"/>
      <c r="AS20" s="438"/>
    </row>
    <row r="21" spans="18:45" ht="63.75" customHeight="1">
      <c r="R21" s="109" t="s">
        <v>1217</v>
      </c>
      <c r="S21" s="109" t="s">
        <v>1186</v>
      </c>
      <c r="T21" s="92" t="s">
        <v>1187</v>
      </c>
      <c r="U21" s="521" t="s">
        <v>1587</v>
      </c>
      <c r="V21" s="109" t="s">
        <v>1188</v>
      </c>
      <c r="W21" s="109" t="s">
        <v>1420</v>
      </c>
      <c r="X21" s="109" t="s">
        <v>1080</v>
      </c>
      <c r="Y21" s="109" t="s">
        <v>381</v>
      </c>
      <c r="Z21" s="109" t="s">
        <v>1071</v>
      </c>
      <c r="AA21" s="109" t="s">
        <v>1072</v>
      </c>
      <c r="AB21" s="262" t="s">
        <v>1309</v>
      </c>
      <c r="AC21" s="109" t="s">
        <v>1339</v>
      </c>
      <c r="AD21" s="109" t="s">
        <v>876</v>
      </c>
      <c r="AE21" s="109" t="s">
        <v>1189</v>
      </c>
      <c r="AF21" s="92" t="s">
        <v>1629</v>
      </c>
      <c r="AG21" s="303">
        <v>0.9</v>
      </c>
      <c r="AK21" s="519" t="s">
        <v>1090</v>
      </c>
      <c r="AL21" s="519" t="s">
        <v>1661</v>
      </c>
      <c r="AM21" s="519" t="s">
        <v>729</v>
      </c>
      <c r="AN21" s="519" t="s">
        <v>1157</v>
      </c>
      <c r="AO21" s="519" t="s">
        <v>1662</v>
      </c>
      <c r="AP21" s="519" t="s">
        <v>1663</v>
      </c>
      <c r="AQ21" s="519" t="s">
        <v>1664</v>
      </c>
      <c r="AR21" s="519" t="s">
        <v>1665</v>
      </c>
      <c r="AS21" s="519" t="s">
        <v>342</v>
      </c>
    </row>
    <row r="22" spans="18:45" ht="86.4">
      <c r="R22" s="458" t="s">
        <v>1217</v>
      </c>
      <c r="S22" s="458" t="s">
        <v>1204</v>
      </c>
      <c r="T22" s="458" t="s">
        <v>1421</v>
      </c>
      <c r="U22" s="521" t="s">
        <v>1588</v>
      </c>
      <c r="V22" s="458" t="s">
        <v>1422</v>
      </c>
      <c r="W22" s="458" t="s">
        <v>1423</v>
      </c>
      <c r="X22" s="458" t="s">
        <v>1080</v>
      </c>
      <c r="Y22" s="458" t="s">
        <v>1306</v>
      </c>
      <c r="Z22" s="458" t="s">
        <v>1424</v>
      </c>
      <c r="AA22" s="458" t="s">
        <v>1170</v>
      </c>
      <c r="AB22" s="109" t="s">
        <v>1882</v>
      </c>
      <c r="AC22" s="458" t="s">
        <v>1345</v>
      </c>
      <c r="AD22" s="458" t="s">
        <v>1103</v>
      </c>
      <c r="AE22" s="458" t="s">
        <v>1425</v>
      </c>
      <c r="AF22" s="92" t="s">
        <v>1630</v>
      </c>
      <c r="AG22" s="459">
        <v>0.7</v>
      </c>
      <c r="AK22" s="109" t="s">
        <v>1091</v>
      </c>
      <c r="AL22" s="109" t="s">
        <v>667</v>
      </c>
      <c r="AM22" s="109" t="s">
        <v>735</v>
      </c>
      <c r="AN22" s="109" t="s">
        <v>1666</v>
      </c>
      <c r="AO22" s="262" t="s">
        <v>1667</v>
      </c>
      <c r="AP22" s="109" t="s">
        <v>1668</v>
      </c>
      <c r="AQ22" s="109" t="s">
        <v>1669</v>
      </c>
      <c r="AR22" s="304">
        <v>0.86109999999999998</v>
      </c>
      <c r="AS22" s="109" t="s">
        <v>1670</v>
      </c>
    </row>
    <row r="23" spans="18:45" ht="99.6">
      <c r="R23" s="109" t="s">
        <v>1217</v>
      </c>
      <c r="S23" s="109" t="s">
        <v>1231</v>
      </c>
      <c r="T23" s="109" t="s">
        <v>1232</v>
      </c>
      <c r="U23" s="521" t="s">
        <v>1589</v>
      </c>
      <c r="V23" s="109" t="s">
        <v>1233</v>
      </c>
      <c r="W23" s="109" t="s">
        <v>1426</v>
      </c>
      <c r="X23" s="109" t="s">
        <v>1080</v>
      </c>
      <c r="Y23" s="109" t="s">
        <v>1158</v>
      </c>
      <c r="Z23" s="109" t="s">
        <v>1234</v>
      </c>
      <c r="AA23" s="109" t="s">
        <v>1235</v>
      </c>
      <c r="AB23" s="262" t="s">
        <v>1311</v>
      </c>
      <c r="AC23" s="109" t="s">
        <v>1348</v>
      </c>
      <c r="AD23" s="109" t="s">
        <v>1103</v>
      </c>
      <c r="AE23" s="109" t="s">
        <v>1236</v>
      </c>
      <c r="AF23" s="92" t="s">
        <v>1631</v>
      </c>
      <c r="AG23" s="303">
        <v>0.78</v>
      </c>
      <c r="AK23" s="109" t="s">
        <v>1092</v>
      </c>
      <c r="AL23" s="109" t="s">
        <v>1373</v>
      </c>
      <c r="AM23" s="109" t="s">
        <v>1374</v>
      </c>
      <c r="AN23" s="109" t="s">
        <v>1671</v>
      </c>
      <c r="AO23" s="262" t="s">
        <v>1672</v>
      </c>
      <c r="AP23" s="109" t="s">
        <v>1673</v>
      </c>
      <c r="AQ23" s="109" t="s">
        <v>1674</v>
      </c>
      <c r="AR23" s="304">
        <v>0.79630000000000001</v>
      </c>
      <c r="AS23" s="109" t="s">
        <v>1675</v>
      </c>
    </row>
    <row r="24" spans="18:45" ht="86.4">
      <c r="R24" s="109" t="s">
        <v>1222</v>
      </c>
      <c r="S24" s="109" t="s">
        <v>1198</v>
      </c>
      <c r="T24" s="109" t="s">
        <v>1199</v>
      </c>
      <c r="U24" s="521" t="s">
        <v>1590</v>
      </c>
      <c r="V24" s="109" t="s">
        <v>1200</v>
      </c>
      <c r="W24" s="109" t="s">
        <v>1427</v>
      </c>
      <c r="X24" s="109" t="s">
        <v>1080</v>
      </c>
      <c r="Y24" s="109" t="s">
        <v>381</v>
      </c>
      <c r="Z24" s="109" t="s">
        <v>1071</v>
      </c>
      <c r="AA24" s="109" t="s">
        <v>1072</v>
      </c>
      <c r="AB24" s="262" t="s">
        <v>1312</v>
      </c>
      <c r="AC24" s="109" t="s">
        <v>1352</v>
      </c>
      <c r="AD24" s="109" t="s">
        <v>1103</v>
      </c>
      <c r="AE24" s="109" t="s">
        <v>1201</v>
      </c>
      <c r="AF24" s="92" t="s">
        <v>1632</v>
      </c>
      <c r="AG24" s="303">
        <v>0.9</v>
      </c>
      <c r="AK24" s="109" t="s">
        <v>1093</v>
      </c>
      <c r="AL24" s="109" t="s">
        <v>1377</v>
      </c>
      <c r="AM24" s="109" t="s">
        <v>1378</v>
      </c>
      <c r="AN24" s="109" t="s">
        <v>1676</v>
      </c>
      <c r="AO24" s="262" t="s">
        <v>1677</v>
      </c>
      <c r="AP24" s="109" t="s">
        <v>1678</v>
      </c>
      <c r="AQ24" s="109" t="s">
        <v>1679</v>
      </c>
      <c r="AR24" s="303">
        <v>7.0000000000000007E-2</v>
      </c>
      <c r="AS24" s="109" t="s">
        <v>1680</v>
      </c>
    </row>
    <row r="25" spans="18:45" ht="86.4">
      <c r="R25" s="109" t="s">
        <v>1222</v>
      </c>
      <c r="S25" s="109" t="s">
        <v>1243</v>
      </c>
      <c r="T25" s="92" t="s">
        <v>1244</v>
      </c>
      <c r="U25" s="521" t="s">
        <v>1591</v>
      </c>
      <c r="V25" s="109" t="s">
        <v>1245</v>
      </c>
      <c r="W25" s="109" t="s">
        <v>1428</v>
      </c>
      <c r="X25" s="109" t="s">
        <v>1080</v>
      </c>
      <c r="Y25" s="109" t="s">
        <v>795</v>
      </c>
      <c r="Z25" s="109" t="s">
        <v>1059</v>
      </c>
      <c r="AA25" s="109" t="s">
        <v>1060</v>
      </c>
      <c r="AB25" s="262" t="s">
        <v>1313</v>
      </c>
      <c r="AC25" s="109" t="s">
        <v>1333</v>
      </c>
      <c r="AD25" s="109" t="s">
        <v>1103</v>
      </c>
      <c r="AE25" s="109" t="s">
        <v>1246</v>
      </c>
      <c r="AF25" s="92" t="s">
        <v>1633</v>
      </c>
      <c r="AG25" s="303">
        <v>0.92</v>
      </c>
      <c r="AK25" s="109" t="s">
        <v>1094</v>
      </c>
      <c r="AL25" s="109" t="s">
        <v>1101</v>
      </c>
      <c r="AM25" s="109" t="s">
        <v>1102</v>
      </c>
      <c r="AN25" s="109" t="s">
        <v>1681</v>
      </c>
      <c r="AO25" s="262" t="s">
        <v>1682</v>
      </c>
      <c r="AP25" s="109" t="s">
        <v>1683</v>
      </c>
      <c r="AQ25" s="109" t="s">
        <v>1684</v>
      </c>
      <c r="AR25" s="303">
        <v>0.04</v>
      </c>
      <c r="AS25" s="109" t="s">
        <v>1685</v>
      </c>
    </row>
    <row r="26" spans="18:45" ht="99.6">
      <c r="R26" s="109" t="s">
        <v>1222</v>
      </c>
      <c r="S26" s="109" t="s">
        <v>1185</v>
      </c>
      <c r="T26" s="109" t="s">
        <v>810</v>
      </c>
      <c r="U26" s="521" t="s">
        <v>1592</v>
      </c>
      <c r="V26" s="109" t="s">
        <v>1429</v>
      </c>
      <c r="W26" s="109" t="s">
        <v>1430</v>
      </c>
      <c r="X26" s="109"/>
      <c r="Y26" s="109" t="s">
        <v>696</v>
      </c>
      <c r="Z26" s="109" t="s">
        <v>1118</v>
      </c>
      <c r="AA26" s="109" t="s">
        <v>1117</v>
      </c>
      <c r="AB26" s="262" t="s">
        <v>1312</v>
      </c>
      <c r="AC26" s="109" t="s">
        <v>1352</v>
      </c>
      <c r="AD26" s="109" t="s">
        <v>874</v>
      </c>
      <c r="AE26" s="109" t="s">
        <v>1431</v>
      </c>
      <c r="AF26" s="92" t="s">
        <v>1634</v>
      </c>
      <c r="AG26" s="303">
        <v>0.88</v>
      </c>
      <c r="AK26" s="109" t="s">
        <v>1169</v>
      </c>
      <c r="AL26" s="109" t="s">
        <v>1384</v>
      </c>
      <c r="AM26" s="109" t="s">
        <v>1385</v>
      </c>
      <c r="AN26" s="109" t="s">
        <v>1686</v>
      </c>
      <c r="AO26" s="262" t="s">
        <v>1687</v>
      </c>
      <c r="AP26" s="109" t="s">
        <v>1688</v>
      </c>
      <c r="AQ26" s="109" t="s">
        <v>1689</v>
      </c>
      <c r="AR26" s="304">
        <v>0.48570000000000002</v>
      </c>
      <c r="AS26" s="109" t="s">
        <v>1690</v>
      </c>
    </row>
    <row r="27" spans="18:45" ht="99.6">
      <c r="R27" s="109" t="s">
        <v>1222</v>
      </c>
      <c r="S27" s="109" t="s">
        <v>1171</v>
      </c>
      <c r="T27" s="109" t="s">
        <v>1172</v>
      </c>
      <c r="U27" s="521" t="s">
        <v>1593</v>
      </c>
      <c r="V27" s="109" t="s">
        <v>1173</v>
      </c>
      <c r="W27" s="109" t="s">
        <v>1432</v>
      </c>
      <c r="X27" s="109" t="s">
        <v>1080</v>
      </c>
      <c r="Y27" s="109" t="s">
        <v>795</v>
      </c>
      <c r="Z27" s="109" t="s">
        <v>1059</v>
      </c>
      <c r="AA27" s="109" t="s">
        <v>1060</v>
      </c>
      <c r="AB27" s="109" t="s">
        <v>1882</v>
      </c>
      <c r="AC27" s="109" t="s">
        <v>1333</v>
      </c>
      <c r="AD27" s="109" t="s">
        <v>876</v>
      </c>
      <c r="AE27" s="109" t="s">
        <v>1433</v>
      </c>
      <c r="AF27" s="92" t="s">
        <v>1635</v>
      </c>
      <c r="AG27" s="303">
        <v>0.93</v>
      </c>
      <c r="AK27" s="109" t="s">
        <v>1208</v>
      </c>
      <c r="AL27" s="109" t="s">
        <v>1209</v>
      </c>
      <c r="AM27" s="109" t="s">
        <v>1210</v>
      </c>
      <c r="AN27" s="109" t="s">
        <v>1691</v>
      </c>
      <c r="AO27" s="262" t="s">
        <v>1692</v>
      </c>
      <c r="AP27" s="109" t="s">
        <v>1693</v>
      </c>
      <c r="AQ27" s="109" t="s">
        <v>1694</v>
      </c>
      <c r="AR27" s="303">
        <v>1.04</v>
      </c>
      <c r="AS27" s="109" t="s">
        <v>1695</v>
      </c>
    </row>
    <row r="28" spans="18:45" ht="112.8">
      <c r="R28" s="109" t="s">
        <v>1222</v>
      </c>
      <c r="S28" s="109" t="s">
        <v>1190</v>
      </c>
      <c r="T28" s="109" t="s">
        <v>1191</v>
      </c>
      <c r="U28" s="521" t="s">
        <v>1594</v>
      </c>
      <c r="V28" s="109" t="s">
        <v>1192</v>
      </c>
      <c r="W28" s="109" t="s">
        <v>1434</v>
      </c>
      <c r="X28" s="109" t="s">
        <v>1081</v>
      </c>
      <c r="Y28" s="109" t="s">
        <v>1193</v>
      </c>
      <c r="Z28" s="109" t="s">
        <v>1194</v>
      </c>
      <c r="AA28" s="109" t="s">
        <v>1195</v>
      </c>
      <c r="AB28" s="109" t="s">
        <v>1882</v>
      </c>
      <c r="AC28" s="109" t="s">
        <v>1352</v>
      </c>
      <c r="AD28" s="109" t="s">
        <v>1196</v>
      </c>
      <c r="AE28" s="109" t="s">
        <v>1197</v>
      </c>
      <c r="AF28" s="109" t="s">
        <v>1615</v>
      </c>
      <c r="AG28" s="109" t="s">
        <v>818</v>
      </c>
      <c r="AK28" s="109" t="s">
        <v>1211</v>
      </c>
      <c r="AL28" s="109" t="s">
        <v>1212</v>
      </c>
      <c r="AM28" s="109" t="s">
        <v>1213</v>
      </c>
      <c r="AN28" s="109" t="s">
        <v>1696</v>
      </c>
      <c r="AO28" s="262" t="s">
        <v>1697</v>
      </c>
      <c r="AP28" s="109" t="s">
        <v>1698</v>
      </c>
      <c r="AQ28" s="109" t="s">
        <v>1699</v>
      </c>
      <c r="AR28" s="304">
        <v>1.0588</v>
      </c>
      <c r="AS28" s="109" t="s">
        <v>1700</v>
      </c>
    </row>
    <row r="29" spans="18:45" ht="99.6">
      <c r="R29" s="109" t="s">
        <v>654</v>
      </c>
      <c r="S29" s="109" t="s">
        <v>1221</v>
      </c>
      <c r="T29" s="109" t="s">
        <v>1435</v>
      </c>
      <c r="U29" s="521" t="s">
        <v>1595</v>
      </c>
      <c r="V29" s="109" t="s">
        <v>1436</v>
      </c>
      <c r="W29" s="109" t="s">
        <v>1437</v>
      </c>
      <c r="X29" s="109" t="s">
        <v>1080</v>
      </c>
      <c r="Y29" s="109" t="s">
        <v>381</v>
      </c>
      <c r="Z29" s="109" t="s">
        <v>382</v>
      </c>
      <c r="AA29" s="109" t="s">
        <v>383</v>
      </c>
      <c r="AB29" s="109" t="s">
        <v>1882</v>
      </c>
      <c r="AC29" s="109" t="s">
        <v>1336</v>
      </c>
      <c r="AD29" s="109" t="s">
        <v>874</v>
      </c>
      <c r="AE29" s="109" t="s">
        <v>1438</v>
      </c>
      <c r="AF29" s="92" t="s">
        <v>1636</v>
      </c>
      <c r="AG29" s="303">
        <v>0.9</v>
      </c>
      <c r="AK29" s="109" t="s">
        <v>1163</v>
      </c>
      <c r="AL29" s="109" t="s">
        <v>1164</v>
      </c>
      <c r="AM29" s="109" t="s">
        <v>1165</v>
      </c>
      <c r="AN29" s="109" t="s">
        <v>1701</v>
      </c>
      <c r="AO29" s="262" t="s">
        <v>1702</v>
      </c>
      <c r="AP29" s="109" t="s">
        <v>1703</v>
      </c>
      <c r="AQ29" s="109" t="s">
        <v>1704</v>
      </c>
      <c r="AR29" s="304">
        <v>4.58E-2</v>
      </c>
      <c r="AS29" s="109" t="s">
        <v>1705</v>
      </c>
    </row>
    <row r="30" spans="18:45" ht="86.4">
      <c r="R30" s="109" t="s">
        <v>654</v>
      </c>
      <c r="S30" s="109" t="s">
        <v>1096</v>
      </c>
      <c r="T30" s="109" t="s">
        <v>418</v>
      </c>
      <c r="U30" s="521" t="s">
        <v>1596</v>
      </c>
      <c r="V30" s="109" t="s">
        <v>773</v>
      </c>
      <c r="W30" s="109" t="s">
        <v>1439</v>
      </c>
      <c r="X30" s="109" t="s">
        <v>1080</v>
      </c>
      <c r="Y30" s="109" t="s">
        <v>1066</v>
      </c>
      <c r="Z30" s="109" t="s">
        <v>1067</v>
      </c>
      <c r="AA30" s="109" t="s">
        <v>1057</v>
      </c>
      <c r="AB30" s="109" t="s">
        <v>1882</v>
      </c>
      <c r="AC30" s="109" t="s">
        <v>1336</v>
      </c>
      <c r="AD30" s="109" t="s">
        <v>874</v>
      </c>
      <c r="AE30" s="109" t="s">
        <v>692</v>
      </c>
      <c r="AF30" s="92" t="s">
        <v>1637</v>
      </c>
      <c r="AG30" s="303">
        <v>0.97</v>
      </c>
      <c r="AK30" s="109" t="s">
        <v>1225</v>
      </c>
      <c r="AL30" s="109" t="s">
        <v>1226</v>
      </c>
      <c r="AM30" s="109" t="s">
        <v>1227</v>
      </c>
      <c r="AN30" s="109" t="s">
        <v>1706</v>
      </c>
      <c r="AO30" s="262" t="s">
        <v>1707</v>
      </c>
      <c r="AP30" s="109" t="s">
        <v>1708</v>
      </c>
      <c r="AQ30" s="109" t="s">
        <v>1709</v>
      </c>
      <c r="AR30" s="303">
        <v>0.92</v>
      </c>
      <c r="AS30" s="109" t="s">
        <v>1710</v>
      </c>
    </row>
    <row r="31" spans="18:45" ht="99.6">
      <c r="R31" s="109" t="s">
        <v>654</v>
      </c>
      <c r="S31" s="109" t="s">
        <v>1097</v>
      </c>
      <c r="T31" s="109" t="s">
        <v>1106</v>
      </c>
      <c r="U31" s="521" t="s">
        <v>1597</v>
      </c>
      <c r="V31" s="109" t="s">
        <v>1107</v>
      </c>
      <c r="W31" s="109" t="s">
        <v>1440</v>
      </c>
      <c r="X31" s="109" t="s">
        <v>1080</v>
      </c>
      <c r="Y31" s="109" t="s">
        <v>381</v>
      </c>
      <c r="Z31" s="109" t="s">
        <v>382</v>
      </c>
      <c r="AA31" s="109" t="s">
        <v>383</v>
      </c>
      <c r="AB31" s="109" t="s">
        <v>1882</v>
      </c>
      <c r="AC31" s="109" t="s">
        <v>1336</v>
      </c>
      <c r="AD31" s="109" t="s">
        <v>1103</v>
      </c>
      <c r="AE31" s="109" t="s">
        <v>1110</v>
      </c>
      <c r="AF31" s="92" t="s">
        <v>1638</v>
      </c>
      <c r="AG31" s="303">
        <v>0.9</v>
      </c>
      <c r="AK31" s="109" t="s">
        <v>1202</v>
      </c>
      <c r="AL31" s="109" t="s">
        <v>1394</v>
      </c>
      <c r="AM31" s="109" t="s">
        <v>1395</v>
      </c>
      <c r="AN31" s="109" t="s">
        <v>1711</v>
      </c>
      <c r="AO31" s="262" t="s">
        <v>1712</v>
      </c>
      <c r="AP31" s="109" t="s">
        <v>1713</v>
      </c>
      <c r="AQ31" s="109" t="s">
        <v>1714</v>
      </c>
      <c r="AR31" s="303">
        <v>0.94</v>
      </c>
      <c r="AS31" s="109" t="s">
        <v>1715</v>
      </c>
    </row>
    <row r="32" spans="18:45" ht="51" customHeight="1">
      <c r="R32" s="109" t="s">
        <v>654</v>
      </c>
      <c r="S32" s="109" t="s">
        <v>1098</v>
      </c>
      <c r="T32" s="109" t="s">
        <v>1108</v>
      </c>
      <c r="U32" s="521" t="s">
        <v>1598</v>
      </c>
      <c r="V32" s="109" t="s">
        <v>1109</v>
      </c>
      <c r="W32" s="109" t="s">
        <v>1441</v>
      </c>
      <c r="X32" s="109" t="s">
        <v>1080</v>
      </c>
      <c r="Y32" s="109" t="s">
        <v>795</v>
      </c>
      <c r="Z32" s="109" t="s">
        <v>1059</v>
      </c>
      <c r="AA32" s="109" t="s">
        <v>1060</v>
      </c>
      <c r="AB32" s="262" t="s">
        <v>1315</v>
      </c>
      <c r="AC32" s="109" t="s">
        <v>1336</v>
      </c>
      <c r="AD32" s="109" t="s">
        <v>874</v>
      </c>
      <c r="AE32" s="109" t="s">
        <v>1442</v>
      </c>
      <c r="AF32" s="92" t="s">
        <v>1639</v>
      </c>
      <c r="AG32" s="303">
        <v>0.92</v>
      </c>
      <c r="AK32" s="109" t="s">
        <v>1716</v>
      </c>
      <c r="AL32" s="109" t="s">
        <v>1717</v>
      </c>
      <c r="AM32" s="109" t="s">
        <v>1718</v>
      </c>
      <c r="AN32" s="109" t="s">
        <v>1719</v>
      </c>
      <c r="AO32" s="262" t="s">
        <v>1720</v>
      </c>
      <c r="AP32" s="109" t="s">
        <v>1721</v>
      </c>
      <c r="AQ32" s="109" t="s">
        <v>1722</v>
      </c>
      <c r="AR32" s="303">
        <v>0.85</v>
      </c>
      <c r="AS32" s="109" t="s">
        <v>1723</v>
      </c>
    </row>
    <row r="33" spans="18:45" ht="63.75" customHeight="1">
      <c r="R33" s="109" t="s">
        <v>654</v>
      </c>
      <c r="S33" s="109" t="s">
        <v>1095</v>
      </c>
      <c r="T33" s="109" t="s">
        <v>686</v>
      </c>
      <c r="U33" s="521" t="s">
        <v>1599</v>
      </c>
      <c r="V33" s="109" t="s">
        <v>760</v>
      </c>
      <c r="W33" s="109" t="s">
        <v>1443</v>
      </c>
      <c r="X33" s="109"/>
      <c r="Y33" s="109" t="s">
        <v>879</v>
      </c>
      <c r="Z33" s="109" t="s">
        <v>1150</v>
      </c>
      <c r="AA33" s="109" t="s">
        <v>1116</v>
      </c>
      <c r="AB33" s="262" t="s">
        <v>1315</v>
      </c>
      <c r="AC33" s="109" t="s">
        <v>1352</v>
      </c>
      <c r="AD33" s="109" t="s">
        <v>874</v>
      </c>
      <c r="AE33" s="109" t="s">
        <v>1105</v>
      </c>
      <c r="AF33" s="92" t="s">
        <v>1640</v>
      </c>
      <c r="AG33" s="109">
        <v>0.5</v>
      </c>
      <c r="AK33" s="109" t="s">
        <v>1203</v>
      </c>
      <c r="AL33" s="109" t="s">
        <v>1398</v>
      </c>
      <c r="AM33" s="109" t="s">
        <v>1399</v>
      </c>
      <c r="AN33" s="109" t="s">
        <v>1724</v>
      </c>
      <c r="AO33" s="262" t="s">
        <v>1725</v>
      </c>
      <c r="AP33" s="109" t="s">
        <v>1726</v>
      </c>
      <c r="AQ33" s="109" t="s">
        <v>1727</v>
      </c>
      <c r="AR33" s="303">
        <v>0.8</v>
      </c>
      <c r="AS33" s="109" t="s">
        <v>1728</v>
      </c>
    </row>
    <row r="34" spans="18:45" ht="112.8">
      <c r="R34" s="109" t="s">
        <v>654</v>
      </c>
      <c r="S34" s="109" t="s">
        <v>1444</v>
      </c>
      <c r="T34" s="109" t="s">
        <v>1445</v>
      </c>
      <c r="U34" s="521" t="s">
        <v>1600</v>
      </c>
      <c r="V34" s="109" t="s">
        <v>1880</v>
      </c>
      <c r="W34" s="109" t="s">
        <v>1447</v>
      </c>
      <c r="X34" s="109" t="s">
        <v>1876</v>
      </c>
      <c r="Y34" s="109" t="s">
        <v>1877</v>
      </c>
      <c r="Z34" s="109" t="s">
        <v>1878</v>
      </c>
      <c r="AA34" s="109" t="s">
        <v>1879</v>
      </c>
      <c r="AB34" s="262" t="s">
        <v>1313</v>
      </c>
      <c r="AC34" s="109" t="s">
        <v>1336</v>
      </c>
      <c r="AD34" s="109" t="s">
        <v>874</v>
      </c>
      <c r="AE34" s="109" t="s">
        <v>1448</v>
      </c>
      <c r="AF34" s="92" t="s">
        <v>1651</v>
      </c>
      <c r="AG34" s="109" t="s">
        <v>1449</v>
      </c>
      <c r="AK34" s="109" t="s">
        <v>1729</v>
      </c>
      <c r="AL34" s="109" t="s">
        <v>1730</v>
      </c>
      <c r="AM34" s="109" t="s">
        <v>1731</v>
      </c>
      <c r="AN34" s="109" t="s">
        <v>1732</v>
      </c>
      <c r="AO34" s="262" t="s">
        <v>1733</v>
      </c>
      <c r="AP34" s="109" t="s">
        <v>1734</v>
      </c>
      <c r="AQ34" s="109" t="s">
        <v>1735</v>
      </c>
      <c r="AR34" s="303">
        <v>0.75</v>
      </c>
      <c r="AS34" s="109" t="s">
        <v>1736</v>
      </c>
    </row>
    <row r="35" spans="18:45" ht="51" customHeight="1">
      <c r="R35" s="109" t="s">
        <v>1223</v>
      </c>
      <c r="S35" s="109" t="s">
        <v>1178</v>
      </c>
      <c r="T35" s="109" t="s">
        <v>1179</v>
      </c>
      <c r="U35" s="521" t="s">
        <v>1601</v>
      </c>
      <c r="V35" s="109" t="s">
        <v>1180</v>
      </c>
      <c r="W35" s="109" t="s">
        <v>1450</v>
      </c>
      <c r="X35" s="109" t="s">
        <v>1080</v>
      </c>
      <c r="Y35" s="109" t="s">
        <v>1158</v>
      </c>
      <c r="Z35" s="109" t="s">
        <v>1174</v>
      </c>
      <c r="AA35" s="109" t="s">
        <v>1175</v>
      </c>
      <c r="AB35" s="262" t="s">
        <v>1359</v>
      </c>
      <c r="AC35" s="109" t="s">
        <v>1348</v>
      </c>
      <c r="AD35" s="109" t="s">
        <v>1103</v>
      </c>
      <c r="AE35" s="109" t="s">
        <v>1181</v>
      </c>
      <c r="AF35" s="92" t="s">
        <v>1649</v>
      </c>
      <c r="AG35" s="303">
        <v>0.78</v>
      </c>
      <c r="AK35" s="109" t="s">
        <v>1238</v>
      </c>
      <c r="AL35" s="109" t="s">
        <v>1402</v>
      </c>
      <c r="AM35" s="109" t="s">
        <v>1403</v>
      </c>
      <c r="AN35" s="109" t="s">
        <v>1737</v>
      </c>
      <c r="AO35" s="262" t="s">
        <v>1738</v>
      </c>
      <c r="AP35" s="109" t="s">
        <v>1739</v>
      </c>
      <c r="AQ35" s="109" t="s">
        <v>1740</v>
      </c>
      <c r="AR35" s="303">
        <v>0.55000000000000004</v>
      </c>
      <c r="AS35" s="109" t="s">
        <v>1741</v>
      </c>
    </row>
    <row r="36" spans="18:45" ht="63.75" customHeight="1">
      <c r="R36" s="109" t="s">
        <v>1223</v>
      </c>
      <c r="S36" s="109" t="s">
        <v>1176</v>
      </c>
      <c r="T36" s="109" t="s">
        <v>699</v>
      </c>
      <c r="U36" s="521" t="s">
        <v>1602</v>
      </c>
      <c r="V36" s="109" t="s">
        <v>802</v>
      </c>
      <c r="W36" s="109" t="s">
        <v>1451</v>
      </c>
      <c r="X36" s="109" t="s">
        <v>1080</v>
      </c>
      <c r="Y36" s="109" t="s">
        <v>696</v>
      </c>
      <c r="Z36" s="109" t="s">
        <v>1118</v>
      </c>
      <c r="AA36" s="109" t="s">
        <v>1117</v>
      </c>
      <c r="AB36" s="109" t="s">
        <v>1882</v>
      </c>
      <c r="AC36" s="109" t="s">
        <v>1348</v>
      </c>
      <c r="AD36" s="109" t="s">
        <v>1103</v>
      </c>
      <c r="AE36" s="109" t="s">
        <v>1177</v>
      </c>
      <c r="AF36" s="92" t="s">
        <v>1641</v>
      </c>
      <c r="AG36" s="304">
        <v>0.81699999999999995</v>
      </c>
      <c r="AI36" s="2"/>
      <c r="AK36" s="109" t="s">
        <v>1099</v>
      </c>
      <c r="AL36" s="109" t="s">
        <v>1409</v>
      </c>
      <c r="AM36" s="109" t="s">
        <v>1410</v>
      </c>
      <c r="AN36" s="109" t="s">
        <v>1742</v>
      </c>
      <c r="AO36" s="262" t="s">
        <v>1743</v>
      </c>
      <c r="AP36" s="109" t="s">
        <v>1744</v>
      </c>
      <c r="AQ36" s="109" t="s">
        <v>1745</v>
      </c>
      <c r="AR36" s="303">
        <v>0.9</v>
      </c>
      <c r="AS36" s="109" t="s">
        <v>1746</v>
      </c>
    </row>
    <row r="37" spans="18:45" ht="38.25" customHeight="1">
      <c r="R37" s="109" t="s">
        <v>1223</v>
      </c>
      <c r="S37" s="109" t="s">
        <v>1182</v>
      </c>
      <c r="T37" s="109" t="s">
        <v>1183</v>
      </c>
      <c r="U37" s="521" t="s">
        <v>1603</v>
      </c>
      <c r="V37" s="109" t="s">
        <v>1184</v>
      </c>
      <c r="W37" s="109" t="s">
        <v>1452</v>
      </c>
      <c r="X37" s="109" t="s">
        <v>1080</v>
      </c>
      <c r="Y37" s="109" t="s">
        <v>795</v>
      </c>
      <c r="Z37" s="109" t="s">
        <v>1059</v>
      </c>
      <c r="AA37" s="109" t="s">
        <v>1060</v>
      </c>
      <c r="AB37" s="262" t="s">
        <v>1311</v>
      </c>
      <c r="AC37" s="109" t="s">
        <v>1348</v>
      </c>
      <c r="AD37" s="109" t="s">
        <v>874</v>
      </c>
      <c r="AE37" s="109" t="s">
        <v>1453</v>
      </c>
      <c r="AF37" s="92" t="s">
        <v>1642</v>
      </c>
      <c r="AG37" s="303">
        <v>0.94</v>
      </c>
      <c r="AK37" s="109" t="s">
        <v>1205</v>
      </c>
      <c r="AL37" s="109" t="s">
        <v>1414</v>
      </c>
      <c r="AM37" s="109" t="s">
        <v>1415</v>
      </c>
      <c r="AN37" s="109" t="s">
        <v>1747</v>
      </c>
      <c r="AO37" s="262" t="s">
        <v>1748</v>
      </c>
      <c r="AP37" s="109" t="s">
        <v>1749</v>
      </c>
      <c r="AQ37" s="109" t="s">
        <v>1714</v>
      </c>
      <c r="AR37" s="303">
        <v>0.94</v>
      </c>
      <c r="AS37" s="109" t="s">
        <v>1715</v>
      </c>
    </row>
    <row r="38" spans="18:45" ht="112.8">
      <c r="R38" s="109" t="s">
        <v>1223</v>
      </c>
      <c r="S38" s="109" t="s">
        <v>1100</v>
      </c>
      <c r="T38" s="109" t="s">
        <v>851</v>
      </c>
      <c r="U38" s="521" t="s">
        <v>1604</v>
      </c>
      <c r="V38" s="109" t="s">
        <v>1454</v>
      </c>
      <c r="W38" s="109" t="s">
        <v>1455</v>
      </c>
      <c r="X38" s="109" t="s">
        <v>1080</v>
      </c>
      <c r="Y38" s="109" t="s">
        <v>696</v>
      </c>
      <c r="Z38" s="109" t="s">
        <v>1230</v>
      </c>
      <c r="AA38" s="109" t="s">
        <v>1175</v>
      </c>
      <c r="AB38" s="262" t="s">
        <v>1359</v>
      </c>
      <c r="AC38" s="109" t="s">
        <v>1360</v>
      </c>
      <c r="AD38" s="109" t="s">
        <v>1103</v>
      </c>
      <c r="AE38" s="109" t="s">
        <v>1456</v>
      </c>
      <c r="AF38" s="92" t="s">
        <v>1643</v>
      </c>
      <c r="AG38" s="303">
        <v>0.84</v>
      </c>
      <c r="AK38" s="109" t="s">
        <v>1159</v>
      </c>
      <c r="AL38" s="109" t="s">
        <v>1160</v>
      </c>
      <c r="AM38" s="109" t="s">
        <v>1161</v>
      </c>
      <c r="AN38" s="109" t="s">
        <v>1750</v>
      </c>
      <c r="AO38" s="262" t="s">
        <v>1751</v>
      </c>
      <c r="AP38" s="109" t="s">
        <v>1752</v>
      </c>
      <c r="AQ38" s="109" t="s">
        <v>1753</v>
      </c>
      <c r="AR38" s="303">
        <v>0.95</v>
      </c>
      <c r="AS38" s="109" t="s">
        <v>1754</v>
      </c>
    </row>
    <row r="39" spans="18:45" ht="38.25" customHeight="1">
      <c r="R39" s="109" t="s">
        <v>1223</v>
      </c>
      <c r="S39" s="109" t="s">
        <v>1239</v>
      </c>
      <c r="T39" s="109" t="s">
        <v>1457</v>
      </c>
      <c r="U39" s="521" t="s">
        <v>1605</v>
      </c>
      <c r="V39" s="109" t="s">
        <v>1458</v>
      </c>
      <c r="W39" s="109" t="s">
        <v>1459</v>
      </c>
      <c r="X39" s="109" t="s">
        <v>1080</v>
      </c>
      <c r="Y39" s="109" t="s">
        <v>1155</v>
      </c>
      <c r="Z39" s="109" t="s">
        <v>1154</v>
      </c>
      <c r="AA39" s="109" t="s">
        <v>1153</v>
      </c>
      <c r="AB39" s="109" t="s">
        <v>1882</v>
      </c>
      <c r="AC39" s="109" t="s">
        <v>1360</v>
      </c>
      <c r="AD39" s="109" t="s">
        <v>1103</v>
      </c>
      <c r="AE39" s="109" t="s">
        <v>1460</v>
      </c>
      <c r="AF39" s="92" t="s">
        <v>1644</v>
      </c>
      <c r="AG39" s="303">
        <v>0.2</v>
      </c>
      <c r="AK39" s="109" t="s">
        <v>1186</v>
      </c>
      <c r="AL39" s="109" t="s">
        <v>1187</v>
      </c>
      <c r="AM39" s="109" t="s">
        <v>1188</v>
      </c>
      <c r="AN39" s="109" t="s">
        <v>1755</v>
      </c>
      <c r="AO39" s="262" t="s">
        <v>1756</v>
      </c>
      <c r="AP39" s="109" t="s">
        <v>1757</v>
      </c>
      <c r="AQ39" s="109" t="s">
        <v>1758</v>
      </c>
      <c r="AR39" s="304">
        <v>0.90480000000000005</v>
      </c>
      <c r="AS39" s="109" t="s">
        <v>1746</v>
      </c>
    </row>
    <row r="40" spans="18:45" ht="38.25" customHeight="1">
      <c r="R40" s="109" t="s">
        <v>1223</v>
      </c>
      <c r="S40" s="109" t="s">
        <v>1240</v>
      </c>
      <c r="T40" s="109" t="s">
        <v>1241</v>
      </c>
      <c r="U40" s="521" t="s">
        <v>1606</v>
      </c>
      <c r="V40" s="109" t="s">
        <v>1242</v>
      </c>
      <c r="W40" s="109" t="s">
        <v>1461</v>
      </c>
      <c r="X40" s="109" t="s">
        <v>1080</v>
      </c>
      <c r="Y40" s="109" t="s">
        <v>1155</v>
      </c>
      <c r="Z40" s="109" t="s">
        <v>1154</v>
      </c>
      <c r="AA40" s="109" t="s">
        <v>1153</v>
      </c>
      <c r="AB40" s="109" t="s">
        <v>1882</v>
      </c>
      <c r="AC40" s="109" t="s">
        <v>1360</v>
      </c>
      <c r="AD40" s="109" t="s">
        <v>1103</v>
      </c>
      <c r="AE40" s="109" t="s">
        <v>1462</v>
      </c>
      <c r="AF40" s="92" t="s">
        <v>1645</v>
      </c>
      <c r="AG40" s="304">
        <v>0.22500000000000001</v>
      </c>
      <c r="AK40" s="109" t="s">
        <v>1204</v>
      </c>
      <c r="AL40" s="109" t="s">
        <v>1421</v>
      </c>
      <c r="AM40" s="109" t="s">
        <v>1422</v>
      </c>
      <c r="AN40" s="109" t="s">
        <v>1759</v>
      </c>
      <c r="AO40" s="262" t="s">
        <v>1760</v>
      </c>
      <c r="AP40" s="109" t="s">
        <v>1761</v>
      </c>
      <c r="AQ40" s="109" t="s">
        <v>1762</v>
      </c>
      <c r="AR40" s="303">
        <v>0.7</v>
      </c>
      <c r="AS40" s="109" t="s">
        <v>1763</v>
      </c>
    </row>
    <row r="41" spans="18:45" ht="51" customHeight="1">
      <c r="R41" s="109" t="s">
        <v>1463</v>
      </c>
      <c r="S41" s="109" t="s">
        <v>1247</v>
      </c>
      <c r="T41" s="109" t="s">
        <v>1248</v>
      </c>
      <c r="U41" s="521" t="s">
        <v>1607</v>
      </c>
      <c r="V41" s="109" t="s">
        <v>1464</v>
      </c>
      <c r="W41" s="109" t="s">
        <v>1465</v>
      </c>
      <c r="X41" s="109" t="s">
        <v>1080</v>
      </c>
      <c r="Y41" s="109" t="s">
        <v>381</v>
      </c>
      <c r="Z41" s="109" t="s">
        <v>1237</v>
      </c>
      <c r="AA41" s="109" t="s">
        <v>1117</v>
      </c>
      <c r="AB41" s="262" t="s">
        <v>1303</v>
      </c>
      <c r="AC41" s="109" t="s">
        <v>1342</v>
      </c>
      <c r="AD41" s="109" t="s">
        <v>1103</v>
      </c>
      <c r="AE41" s="109" t="s">
        <v>1466</v>
      </c>
      <c r="AF41" s="92" t="s">
        <v>1650</v>
      </c>
      <c r="AG41" s="303">
        <v>0.9</v>
      </c>
      <c r="AK41" s="109" t="s">
        <v>1231</v>
      </c>
      <c r="AL41" s="109" t="s">
        <v>1232</v>
      </c>
      <c r="AM41" s="109" t="s">
        <v>1233</v>
      </c>
      <c r="AN41" s="109" t="s">
        <v>1764</v>
      </c>
      <c r="AO41" s="262" t="s">
        <v>1765</v>
      </c>
      <c r="AP41" s="109" t="s">
        <v>1766</v>
      </c>
      <c r="AQ41" s="109" t="s">
        <v>1767</v>
      </c>
      <c r="AR41" s="303">
        <v>0.78</v>
      </c>
      <c r="AS41" s="109" t="s">
        <v>1768</v>
      </c>
    </row>
    <row r="42" spans="18:45" ht="112.8">
      <c r="R42" s="109" t="s">
        <v>1463</v>
      </c>
      <c r="S42" s="109" t="s">
        <v>1249</v>
      </c>
      <c r="T42" s="109" t="s">
        <v>1250</v>
      </c>
      <c r="U42" s="521" t="s">
        <v>1608</v>
      </c>
      <c r="V42" s="109" t="s">
        <v>1467</v>
      </c>
      <c r="W42" s="109" t="s">
        <v>1468</v>
      </c>
      <c r="X42" s="109" t="s">
        <v>1080</v>
      </c>
      <c r="Y42" s="109" t="s">
        <v>795</v>
      </c>
      <c r="Z42" s="109" t="s">
        <v>1228</v>
      </c>
      <c r="AA42" s="109" t="s">
        <v>1072</v>
      </c>
      <c r="AB42" s="262" t="s">
        <v>1303</v>
      </c>
      <c r="AC42" s="109" t="s">
        <v>1342</v>
      </c>
      <c r="AD42" s="109" t="s">
        <v>1103</v>
      </c>
      <c r="AE42" s="109" t="s">
        <v>1469</v>
      </c>
      <c r="AF42" s="92" t="s">
        <v>1646</v>
      </c>
      <c r="AG42" s="303">
        <v>0.95</v>
      </c>
      <c r="AK42" s="109" t="s">
        <v>1769</v>
      </c>
      <c r="AL42" s="109" t="s">
        <v>1770</v>
      </c>
      <c r="AM42" s="109" t="s">
        <v>1771</v>
      </c>
      <c r="AN42" s="109" t="s">
        <v>1772</v>
      </c>
      <c r="AO42" s="262" t="s">
        <v>1773</v>
      </c>
      <c r="AP42" s="109" t="s">
        <v>1774</v>
      </c>
      <c r="AQ42" s="109" t="s">
        <v>1775</v>
      </c>
      <c r="AR42" s="109" t="s">
        <v>1776</v>
      </c>
      <c r="AS42" s="109" t="s">
        <v>1777</v>
      </c>
    </row>
    <row r="43" spans="18:45" ht="51" customHeight="1">
      <c r="R43" s="109" t="s">
        <v>1463</v>
      </c>
      <c r="S43" s="109" t="s">
        <v>1251</v>
      </c>
      <c r="T43" s="109" t="s">
        <v>1252</v>
      </c>
      <c r="U43" s="521" t="s">
        <v>1609</v>
      </c>
      <c r="V43" s="109" t="s">
        <v>1470</v>
      </c>
      <c r="W43" s="109" t="s">
        <v>1471</v>
      </c>
      <c r="X43" s="109" t="s">
        <v>1080</v>
      </c>
      <c r="Y43" s="109" t="s">
        <v>795</v>
      </c>
      <c r="Z43" s="109" t="s">
        <v>1059</v>
      </c>
      <c r="AA43" s="109" t="s">
        <v>1060</v>
      </c>
      <c r="AB43" s="109" t="s">
        <v>1882</v>
      </c>
      <c r="AC43" s="109" t="s">
        <v>1342</v>
      </c>
      <c r="AD43" s="109" t="s">
        <v>874</v>
      </c>
      <c r="AE43" s="109" t="s">
        <v>1472</v>
      </c>
      <c r="AF43" s="92" t="s">
        <v>1647</v>
      </c>
      <c r="AG43" s="303">
        <v>0.96</v>
      </c>
      <c r="AK43" s="109" t="s">
        <v>1198</v>
      </c>
      <c r="AL43" s="109" t="s">
        <v>1199</v>
      </c>
      <c r="AM43" s="109" t="s">
        <v>1200</v>
      </c>
      <c r="AN43" s="109" t="s">
        <v>1778</v>
      </c>
      <c r="AO43" s="262" t="s">
        <v>1779</v>
      </c>
      <c r="AP43" s="109" t="s">
        <v>1780</v>
      </c>
      <c r="AQ43" s="109" t="s">
        <v>1745</v>
      </c>
      <c r="AR43" s="303">
        <v>0.9</v>
      </c>
      <c r="AS43" s="109" t="s">
        <v>1746</v>
      </c>
    </row>
    <row r="44" spans="18:45" ht="38.25" customHeight="1">
      <c r="R44" s="109" t="s">
        <v>1463</v>
      </c>
      <c r="S44" s="109" t="s">
        <v>1253</v>
      </c>
      <c r="T44" s="109" t="s">
        <v>1254</v>
      </c>
      <c r="U44" s="522" t="s">
        <v>1610</v>
      </c>
      <c r="V44" s="109" t="s">
        <v>1473</v>
      </c>
      <c r="W44" s="109" t="s">
        <v>1474</v>
      </c>
      <c r="X44" s="109" t="s">
        <v>1080</v>
      </c>
      <c r="Y44" s="109" t="s">
        <v>1255</v>
      </c>
      <c r="Z44" s="109" t="s">
        <v>1256</v>
      </c>
      <c r="AA44" s="109" t="s">
        <v>1257</v>
      </c>
      <c r="AB44" s="109" t="s">
        <v>1882</v>
      </c>
      <c r="AC44" s="109" t="s">
        <v>1342</v>
      </c>
      <c r="AD44" s="109" t="s">
        <v>874</v>
      </c>
      <c r="AE44" s="109" t="s">
        <v>1475</v>
      </c>
      <c r="AF44" s="92" t="s">
        <v>1648</v>
      </c>
      <c r="AG44" s="303">
        <v>0.04</v>
      </c>
      <c r="AK44" s="109" t="s">
        <v>1781</v>
      </c>
      <c r="AL44" s="109" t="s">
        <v>1782</v>
      </c>
      <c r="AM44" s="109" t="s">
        <v>1783</v>
      </c>
      <c r="AN44" s="109" t="s">
        <v>1784</v>
      </c>
      <c r="AO44" s="262" t="s">
        <v>1785</v>
      </c>
      <c r="AP44" s="109" t="s">
        <v>1786</v>
      </c>
      <c r="AQ44" s="109" t="s">
        <v>1745</v>
      </c>
      <c r="AR44" s="303">
        <v>0.9</v>
      </c>
      <c r="AS44" s="109" t="s">
        <v>1787</v>
      </c>
    </row>
    <row r="45" spans="18:45" ht="38.25" customHeight="1">
      <c r="R45" s="92" t="s">
        <v>1216</v>
      </c>
      <c r="S45" s="92" t="s">
        <v>2027</v>
      </c>
      <c r="T45" s="92" t="s">
        <v>2028</v>
      </c>
      <c r="U45" s="593" t="s">
        <v>2029</v>
      </c>
      <c r="V45" s="593" t="s">
        <v>2030</v>
      </c>
      <c r="W45" s="2" t="s">
        <v>2031</v>
      </c>
      <c r="X45" s="53" t="s">
        <v>1080</v>
      </c>
      <c r="Y45" s="53" t="s">
        <v>878</v>
      </c>
      <c r="Z45" s="53" t="s">
        <v>2032</v>
      </c>
      <c r="AA45" s="53" t="s">
        <v>1053</v>
      </c>
      <c r="AB45" s="2" t="s">
        <v>1317</v>
      </c>
      <c r="AC45" s="109" t="s">
        <v>1318</v>
      </c>
      <c r="AD45" s="2" t="s">
        <v>874</v>
      </c>
      <c r="AE45" s="2" t="s">
        <v>2033</v>
      </c>
      <c r="AF45" s="2" t="s">
        <v>2034</v>
      </c>
      <c r="AG45" s="594">
        <v>0.05</v>
      </c>
      <c r="AK45" s="109" t="s">
        <v>1243</v>
      </c>
      <c r="AL45" s="109" t="s">
        <v>1244</v>
      </c>
      <c r="AM45" s="109" t="s">
        <v>1245</v>
      </c>
      <c r="AN45" s="109" t="s">
        <v>1788</v>
      </c>
      <c r="AO45" s="262" t="s">
        <v>1789</v>
      </c>
      <c r="AP45" s="109" t="s">
        <v>1790</v>
      </c>
      <c r="AQ45" s="109" t="s">
        <v>1709</v>
      </c>
      <c r="AR45" s="303">
        <v>0.92</v>
      </c>
      <c r="AS45" s="109" t="s">
        <v>1710</v>
      </c>
    </row>
    <row r="46" spans="18:45" ht="38.25" customHeight="1">
      <c r="AK46" s="109" t="s">
        <v>1185</v>
      </c>
      <c r="AL46" s="109" t="s">
        <v>810</v>
      </c>
      <c r="AM46" s="109" t="s">
        <v>1429</v>
      </c>
      <c r="AN46" s="109" t="s">
        <v>1791</v>
      </c>
      <c r="AO46" s="262" t="s">
        <v>1792</v>
      </c>
      <c r="AP46" s="109" t="s">
        <v>1793</v>
      </c>
      <c r="AQ46" s="109" t="s">
        <v>1794</v>
      </c>
      <c r="AR46" s="304">
        <v>0.88200000000000001</v>
      </c>
      <c r="AS46" s="109" t="s">
        <v>1795</v>
      </c>
    </row>
    <row r="47" spans="18:45" ht="51" customHeight="1">
      <c r="AK47" s="109" t="s">
        <v>1171</v>
      </c>
      <c r="AL47" s="109" t="s">
        <v>1172</v>
      </c>
      <c r="AM47" s="109" t="s">
        <v>1173</v>
      </c>
      <c r="AN47" s="109" t="s">
        <v>1796</v>
      </c>
      <c r="AO47" s="262" t="s">
        <v>1797</v>
      </c>
      <c r="AP47" s="109" t="s">
        <v>1798</v>
      </c>
      <c r="AQ47" s="109" t="s">
        <v>1799</v>
      </c>
      <c r="AR47" s="304">
        <v>0.93330000000000002</v>
      </c>
      <c r="AS47" s="109" t="s">
        <v>1800</v>
      </c>
    </row>
    <row r="48" spans="18:45" ht="51" customHeight="1">
      <c r="AK48" s="109" t="s">
        <v>1190</v>
      </c>
      <c r="AL48" s="109" t="s">
        <v>1191</v>
      </c>
      <c r="AM48" s="109" t="s">
        <v>1192</v>
      </c>
      <c r="AN48" s="109" t="s">
        <v>1801</v>
      </c>
      <c r="AO48" s="262" t="s">
        <v>1802</v>
      </c>
      <c r="AP48" s="109" t="s">
        <v>1803</v>
      </c>
      <c r="AQ48" s="109" t="s">
        <v>1804</v>
      </c>
      <c r="AR48" s="109" t="s">
        <v>818</v>
      </c>
      <c r="AS48" s="109" t="s">
        <v>1805</v>
      </c>
    </row>
    <row r="49" spans="37:45" ht="51" customHeight="1">
      <c r="AK49" s="109" t="s">
        <v>1221</v>
      </c>
      <c r="AL49" s="109" t="s">
        <v>1435</v>
      </c>
      <c r="AM49" s="109" t="s">
        <v>1436</v>
      </c>
      <c r="AN49" s="109" t="s">
        <v>1806</v>
      </c>
      <c r="AO49" s="262" t="s">
        <v>1807</v>
      </c>
      <c r="AP49" s="109" t="s">
        <v>1808</v>
      </c>
      <c r="AQ49" s="109" t="s">
        <v>1745</v>
      </c>
      <c r="AR49" s="303">
        <v>0.9</v>
      </c>
      <c r="AS49" s="109" t="s">
        <v>1746</v>
      </c>
    </row>
    <row r="50" spans="37:45" ht="51" customHeight="1">
      <c r="AK50" s="109" t="s">
        <v>1096</v>
      </c>
      <c r="AL50" s="109" t="s">
        <v>418</v>
      </c>
      <c r="AM50" s="109" t="s">
        <v>773</v>
      </c>
      <c r="AN50" s="109" t="s">
        <v>1809</v>
      </c>
      <c r="AO50" s="262" t="s">
        <v>1810</v>
      </c>
      <c r="AP50" s="109" t="s">
        <v>1811</v>
      </c>
      <c r="AQ50" s="109" t="s">
        <v>1812</v>
      </c>
      <c r="AR50" s="303">
        <v>0.97</v>
      </c>
      <c r="AS50" s="109" t="s">
        <v>1813</v>
      </c>
    </row>
    <row r="51" spans="37:45" ht="76.5" customHeight="1">
      <c r="AK51" s="109" t="s">
        <v>1097</v>
      </c>
      <c r="AL51" s="109" t="s">
        <v>1106</v>
      </c>
      <c r="AM51" s="109" t="s">
        <v>1107</v>
      </c>
      <c r="AN51" s="109" t="s">
        <v>1814</v>
      </c>
      <c r="AO51" s="262" t="s">
        <v>1815</v>
      </c>
      <c r="AP51" s="109" t="s">
        <v>1816</v>
      </c>
      <c r="AQ51" s="109" t="s">
        <v>1817</v>
      </c>
      <c r="AR51" s="304">
        <v>0.90380000000000005</v>
      </c>
      <c r="AS51" s="109" t="s">
        <v>1746</v>
      </c>
    </row>
    <row r="52" spans="37:45" ht="51" customHeight="1">
      <c r="AK52" s="109" t="s">
        <v>1098</v>
      </c>
      <c r="AL52" s="109" t="s">
        <v>1108</v>
      </c>
      <c r="AM52" s="109" t="s">
        <v>1109</v>
      </c>
      <c r="AN52" s="109" t="s">
        <v>1818</v>
      </c>
      <c r="AO52" s="262" t="s">
        <v>1819</v>
      </c>
      <c r="AP52" s="109" t="s">
        <v>1820</v>
      </c>
      <c r="AQ52" s="109" t="s">
        <v>1821</v>
      </c>
      <c r="AR52" s="304">
        <v>0.92310000000000003</v>
      </c>
      <c r="AS52" s="109" t="s">
        <v>1710</v>
      </c>
    </row>
    <row r="53" spans="37:45" ht="63.75" customHeight="1">
      <c r="AK53" s="109" t="s">
        <v>1095</v>
      </c>
      <c r="AL53" s="109" t="s">
        <v>686</v>
      </c>
      <c r="AM53" s="109" t="s">
        <v>760</v>
      </c>
      <c r="AN53" s="109" t="s">
        <v>1822</v>
      </c>
      <c r="AO53" s="262" t="s">
        <v>1823</v>
      </c>
      <c r="AP53" s="109" t="s">
        <v>1824</v>
      </c>
      <c r="AQ53" s="109" t="s">
        <v>1825</v>
      </c>
      <c r="AR53" s="109">
        <v>0.5</v>
      </c>
      <c r="AS53" s="109" t="s">
        <v>1826</v>
      </c>
    </row>
    <row r="54" spans="37:45" ht="63.75" customHeight="1">
      <c r="AK54" s="109" t="s">
        <v>1444</v>
      </c>
      <c r="AL54" s="109" t="s">
        <v>1445</v>
      </c>
      <c r="AM54" s="109" t="s">
        <v>1446</v>
      </c>
      <c r="AN54" s="109" t="s">
        <v>1827</v>
      </c>
      <c r="AO54" s="262" t="s">
        <v>1828</v>
      </c>
      <c r="AP54" s="109" t="s">
        <v>1829</v>
      </c>
      <c r="AQ54" s="109" t="s">
        <v>1830</v>
      </c>
      <c r="AR54" s="560">
        <v>160000</v>
      </c>
      <c r="AS54" s="109" t="s">
        <v>1831</v>
      </c>
    </row>
    <row r="55" spans="37:45" ht="51" customHeight="1">
      <c r="AK55" s="109" t="s">
        <v>1178</v>
      </c>
      <c r="AL55" s="109" t="s">
        <v>1179</v>
      </c>
      <c r="AM55" s="109" t="s">
        <v>1180</v>
      </c>
      <c r="AN55" s="109" t="s">
        <v>1832</v>
      </c>
      <c r="AO55" s="262" t="s">
        <v>1833</v>
      </c>
      <c r="AP55" s="109" t="s">
        <v>1834</v>
      </c>
      <c r="AQ55" s="109" t="s">
        <v>1767</v>
      </c>
      <c r="AR55" s="303">
        <v>0.78</v>
      </c>
      <c r="AS55" s="109" t="s">
        <v>1768</v>
      </c>
    </row>
    <row r="56" spans="37:45" ht="38.25" customHeight="1">
      <c r="AK56" s="109" t="s">
        <v>1176</v>
      </c>
      <c r="AL56" s="109" t="s">
        <v>699</v>
      </c>
      <c r="AM56" s="109" t="s">
        <v>1835</v>
      </c>
      <c r="AN56" s="109" t="s">
        <v>1836</v>
      </c>
      <c r="AO56" s="262" t="s">
        <v>1837</v>
      </c>
      <c r="AP56" s="109" t="s">
        <v>1838</v>
      </c>
      <c r="AQ56" s="109" t="s">
        <v>1839</v>
      </c>
      <c r="AR56" s="304">
        <v>0.81699999999999995</v>
      </c>
      <c r="AS56" s="109" t="s">
        <v>1840</v>
      </c>
    </row>
    <row r="57" spans="37:45" ht="38.25" customHeight="1">
      <c r="AK57" s="109" t="s">
        <v>1182</v>
      </c>
      <c r="AL57" s="109" t="s">
        <v>1183</v>
      </c>
      <c r="AM57" s="109" t="s">
        <v>1184</v>
      </c>
      <c r="AN57" s="109" t="s">
        <v>1841</v>
      </c>
      <c r="AO57" s="262" t="s">
        <v>1842</v>
      </c>
      <c r="AP57" s="109" t="s">
        <v>1843</v>
      </c>
      <c r="AQ57" s="109" t="s">
        <v>1714</v>
      </c>
      <c r="AR57" s="303">
        <v>0.94</v>
      </c>
      <c r="AS57" s="109" t="s">
        <v>1715</v>
      </c>
    </row>
    <row r="58" spans="37:45" ht="38.25" customHeight="1">
      <c r="AK58" s="109" t="s">
        <v>1100</v>
      </c>
      <c r="AL58" s="109" t="s">
        <v>851</v>
      </c>
      <c r="AM58" s="109" t="s">
        <v>1454</v>
      </c>
      <c r="AN58" s="109" t="s">
        <v>1844</v>
      </c>
      <c r="AO58" s="262" t="s">
        <v>1845</v>
      </c>
      <c r="AP58" s="109" t="s">
        <v>1846</v>
      </c>
      <c r="AQ58" s="109" t="s">
        <v>1847</v>
      </c>
      <c r="AR58" s="303">
        <v>0.84</v>
      </c>
      <c r="AS58" s="109" t="s">
        <v>1848</v>
      </c>
    </row>
    <row r="59" spans="37:45" ht="51" customHeight="1">
      <c r="AK59" s="109" t="s">
        <v>1239</v>
      </c>
      <c r="AL59" s="109" t="s">
        <v>1457</v>
      </c>
      <c r="AM59" s="109" t="s">
        <v>1458</v>
      </c>
      <c r="AN59" s="109" t="s">
        <v>1849</v>
      </c>
      <c r="AO59" s="262" t="s">
        <v>1850</v>
      </c>
      <c r="AP59" s="109" t="s">
        <v>1851</v>
      </c>
      <c r="AQ59" s="109" t="s">
        <v>1852</v>
      </c>
      <c r="AR59" s="303">
        <v>0.2</v>
      </c>
      <c r="AS59" s="109" t="s">
        <v>1853</v>
      </c>
    </row>
    <row r="60" spans="37:45" ht="51" customHeight="1">
      <c r="AK60" s="109" t="s">
        <v>1240</v>
      </c>
      <c r="AL60" s="109" t="s">
        <v>1241</v>
      </c>
      <c r="AM60" s="109" t="s">
        <v>1242</v>
      </c>
      <c r="AN60" s="109" t="s">
        <v>1854</v>
      </c>
      <c r="AO60" s="262" t="s">
        <v>1855</v>
      </c>
      <c r="AP60" s="109" t="s">
        <v>1856</v>
      </c>
      <c r="AQ60" s="109" t="s">
        <v>1857</v>
      </c>
      <c r="AR60" s="304">
        <v>0.22500000000000001</v>
      </c>
      <c r="AS60" s="109" t="s">
        <v>1858</v>
      </c>
    </row>
    <row r="61" spans="37:45" ht="51" customHeight="1">
      <c r="AK61" s="109" t="s">
        <v>1247</v>
      </c>
      <c r="AL61" s="109" t="s">
        <v>1248</v>
      </c>
      <c r="AM61" s="109" t="s">
        <v>1464</v>
      </c>
      <c r="AN61" s="109" t="s">
        <v>1859</v>
      </c>
      <c r="AO61" s="262" t="s">
        <v>1860</v>
      </c>
      <c r="AP61" s="109" t="s">
        <v>1861</v>
      </c>
      <c r="AQ61" s="109" t="s">
        <v>1862</v>
      </c>
      <c r="AR61" s="303">
        <v>0.9</v>
      </c>
      <c r="AS61" s="109" t="s">
        <v>1746</v>
      </c>
    </row>
    <row r="62" spans="37:45" ht="38.25" customHeight="1">
      <c r="AK62" s="109" t="s">
        <v>1249</v>
      </c>
      <c r="AL62" s="109" t="s">
        <v>1250</v>
      </c>
      <c r="AM62" s="109" t="s">
        <v>1467</v>
      </c>
      <c r="AN62" s="109" t="s">
        <v>1863</v>
      </c>
      <c r="AO62" s="262" t="s">
        <v>1864</v>
      </c>
      <c r="AP62" s="109" t="s">
        <v>1865</v>
      </c>
      <c r="AQ62" s="109" t="s">
        <v>1866</v>
      </c>
      <c r="AR62" s="303">
        <v>0.95</v>
      </c>
      <c r="AS62" s="109" t="s">
        <v>1754</v>
      </c>
    </row>
    <row r="63" spans="37:45" ht="51" customHeight="1">
      <c r="AK63" s="109" t="s">
        <v>1251</v>
      </c>
      <c r="AL63" s="109" t="s">
        <v>1252</v>
      </c>
      <c r="AM63" s="109" t="s">
        <v>1470</v>
      </c>
      <c r="AN63" s="109" t="s">
        <v>1867</v>
      </c>
      <c r="AO63" s="262" t="s">
        <v>1868</v>
      </c>
      <c r="AP63" s="109" t="s">
        <v>1869</v>
      </c>
      <c r="AQ63" s="109" t="s">
        <v>1870</v>
      </c>
      <c r="AR63" s="304">
        <v>0.95740000000000003</v>
      </c>
      <c r="AS63" s="109" t="s">
        <v>1871</v>
      </c>
    </row>
    <row r="64" spans="37:45" ht="51" customHeight="1">
      <c r="AK64" s="109" t="s">
        <v>1253</v>
      </c>
      <c r="AL64" s="109" t="s">
        <v>1254</v>
      </c>
      <c r="AM64" s="109" t="s">
        <v>1473</v>
      </c>
      <c r="AN64" s="109" t="s">
        <v>1872</v>
      </c>
      <c r="AO64" s="262" t="s">
        <v>1873</v>
      </c>
      <c r="AP64" s="109" t="s">
        <v>1874</v>
      </c>
      <c r="AQ64" s="109" t="s">
        <v>1875</v>
      </c>
      <c r="AR64" s="303">
        <v>0.04</v>
      </c>
      <c r="AS64" s="109" t="s">
        <v>1685</v>
      </c>
    </row>
    <row r="65" ht="63.75" customHeight="1"/>
    <row r="66" ht="38.25" customHeight="1"/>
    <row r="67" ht="51" customHeight="1"/>
    <row r="68" ht="51" customHeight="1"/>
    <row r="69" ht="38.25" customHeight="1"/>
    <row r="70" ht="63.75" customHeight="1"/>
    <row r="71" ht="51" customHeight="1"/>
    <row r="72" ht="38.25" customHeight="1"/>
    <row r="74" ht="38.25" customHeight="1"/>
    <row r="75" ht="51" customHeight="1"/>
    <row r="76" ht="38.25" customHeight="1"/>
    <row r="77" ht="63.75" customHeight="1"/>
    <row r="78" ht="38.25" customHeight="1"/>
    <row r="79" ht="38.25" customHeight="1"/>
    <row r="80" ht="38.25" customHeight="1"/>
    <row r="81" ht="38.25" customHeight="1"/>
    <row r="82" ht="38.25" customHeight="1"/>
    <row r="83" ht="38.25" customHeight="1"/>
    <row r="84" ht="63.75" customHeight="1"/>
    <row r="85" ht="38.25" customHeight="1"/>
    <row r="86" ht="21" customHeight="1"/>
    <row r="87" ht="39.75" customHeight="1"/>
    <row r="95" ht="21" customHeight="1"/>
  </sheetData>
  <mergeCells count="1">
    <mergeCell ref="A3:M3"/>
  </mergeCells>
  <phoneticPr fontId="90" type="noConversion"/>
  <dataValidations count="1">
    <dataValidation type="list" allowBlank="1" showInputMessage="1" showErrorMessage="1" sqref="D6:D16" xr:uid="{BB689BFE-6868-4C30-9C84-DBA4AF7BECCA}">
      <formula1>"Tier 1, Tier 2, Tier 3"</formula1>
    </dataValidation>
  </dataValidations>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9E857-28EA-4001-AEE5-B739164EBE81}">
  <sheetPr codeName="Sheet24"/>
  <dimension ref="A1:I8"/>
  <sheetViews>
    <sheetView zoomScale="48" workbookViewId="0">
      <selection activeCell="G2" sqref="G2:I8"/>
    </sheetView>
  </sheetViews>
  <sheetFormatPr defaultRowHeight="13.2"/>
  <cols>
    <col min="1" max="1" width="39.21875" style="274" bestFit="1" customWidth="1"/>
    <col min="2" max="2" width="23.88671875" bestFit="1" customWidth="1"/>
    <col min="3" max="3" width="20.5546875" bestFit="1" customWidth="1"/>
    <col min="7" max="8" width="11.77734375" bestFit="1" customWidth="1"/>
    <col min="9" max="9" width="11.77734375" style="668" bestFit="1" customWidth="1"/>
  </cols>
  <sheetData>
    <row r="1" spans="1:9" s="658" customFormat="1" ht="16.2" thickBot="1">
      <c r="A1" s="655" t="s">
        <v>1086</v>
      </c>
      <c r="B1" s="656" t="s">
        <v>2147</v>
      </c>
      <c r="C1" s="657" t="s">
        <v>245</v>
      </c>
      <c r="G1" s="658" t="s">
        <v>645</v>
      </c>
      <c r="H1" s="658" t="s">
        <v>275</v>
      </c>
      <c r="I1" s="667" t="s">
        <v>352</v>
      </c>
    </row>
    <row r="2" spans="1:9" ht="120.6" thickBot="1">
      <c r="A2" s="659" t="s">
        <v>2148</v>
      </c>
      <c r="B2" s="651" t="s">
        <v>2149</v>
      </c>
      <c r="C2" s="652" t="s">
        <v>2150</v>
      </c>
      <c r="G2" s="2" t="s">
        <v>2167</v>
      </c>
      <c r="H2" s="2" t="s">
        <v>2173</v>
      </c>
      <c r="I2" s="669" t="s">
        <v>2174</v>
      </c>
    </row>
    <row r="3" spans="1:9" ht="135.6" thickBot="1">
      <c r="A3" s="659" t="s">
        <v>2151</v>
      </c>
      <c r="B3" s="651" t="s">
        <v>2152</v>
      </c>
      <c r="C3" s="652" t="s">
        <v>2153</v>
      </c>
      <c r="G3" s="2" t="s">
        <v>2168</v>
      </c>
      <c r="H3" s="2" t="s">
        <v>2181</v>
      </c>
      <c r="I3" s="669" t="s">
        <v>2175</v>
      </c>
    </row>
    <row r="4" spans="1:9" ht="90.6" thickBot="1">
      <c r="A4" s="659" t="s">
        <v>2154</v>
      </c>
      <c r="B4" s="651" t="s">
        <v>2155</v>
      </c>
      <c r="C4" s="652" t="s">
        <v>2156</v>
      </c>
      <c r="G4" s="2" t="s">
        <v>2169</v>
      </c>
      <c r="H4" s="2" t="s">
        <v>2182</v>
      </c>
      <c r="I4" s="669" t="s">
        <v>2176</v>
      </c>
    </row>
    <row r="5" spans="1:9" ht="90.6" thickBot="1">
      <c r="A5" s="659" t="s">
        <v>2157</v>
      </c>
      <c r="B5" s="651" t="s">
        <v>2158</v>
      </c>
      <c r="C5" s="652" t="s">
        <v>2159</v>
      </c>
      <c r="G5" s="2" t="s">
        <v>2170</v>
      </c>
      <c r="H5" s="2" t="s">
        <v>2183</v>
      </c>
      <c r="I5" s="669" t="s">
        <v>2177</v>
      </c>
    </row>
    <row r="6" spans="1:9" ht="90.6" thickBot="1">
      <c r="A6" s="659" t="s">
        <v>2055</v>
      </c>
      <c r="B6" s="651" t="s">
        <v>2160</v>
      </c>
      <c r="C6" s="652" t="s">
        <v>2159</v>
      </c>
      <c r="G6" s="2" t="s">
        <v>2171</v>
      </c>
      <c r="H6" s="2" t="s">
        <v>2184</v>
      </c>
      <c r="I6" s="669" t="s">
        <v>2178</v>
      </c>
    </row>
    <row r="7" spans="1:9" ht="90.6" thickBot="1">
      <c r="A7" s="659" t="s">
        <v>2161</v>
      </c>
      <c r="B7" s="651" t="s">
        <v>2162</v>
      </c>
      <c r="C7" s="652" t="s">
        <v>2159</v>
      </c>
      <c r="G7" s="2" t="s">
        <v>2172</v>
      </c>
      <c r="H7" s="2" t="s">
        <v>2185</v>
      </c>
      <c r="I7" s="669" t="s">
        <v>2179</v>
      </c>
    </row>
    <row r="8" spans="1:9" ht="120">
      <c r="A8" s="660" t="s">
        <v>2163</v>
      </c>
      <c r="B8" s="653" t="s">
        <v>2164</v>
      </c>
      <c r="C8" s="654" t="s">
        <v>2165</v>
      </c>
      <c r="G8" s="2" t="s">
        <v>1279</v>
      </c>
      <c r="H8" s="2" t="s">
        <v>2186</v>
      </c>
      <c r="I8" s="669" t="s">
        <v>2180</v>
      </c>
    </row>
  </sheetData>
  <pageMargins left="0.7" right="0.7" top="0.75" bottom="0.75" header="0.3" footer="0.3"/>
  <tableParts count="2">
    <tablePart r:id="rId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903E6-D093-4A23-8CDA-D7C6A71F876D}">
  <sheetPr codeName="Sheet23">
    <tabColor rgb="FF7030A0"/>
  </sheetPr>
  <dimension ref="B4:B70"/>
  <sheetViews>
    <sheetView showGridLines="0" topLeftCell="A48" workbookViewId="0">
      <selection activeCell="B5" sqref="B5"/>
    </sheetView>
  </sheetViews>
  <sheetFormatPr defaultColWidth="8.88671875" defaultRowHeight="13.2"/>
  <cols>
    <col min="1" max="1" width="8.88671875" style="2" customWidth="1"/>
    <col min="2" max="2" width="108.44140625" style="2" customWidth="1"/>
    <col min="3" max="16384" width="8.88671875" style="2"/>
  </cols>
  <sheetData>
    <row r="4" spans="2:2" ht="55.05" customHeight="1">
      <c r="B4" s="571" t="s">
        <v>1937</v>
      </c>
    </row>
    <row r="5" spans="2:2" ht="15">
      <c r="B5" s="572" t="s">
        <v>1938</v>
      </c>
    </row>
    <row r="6" spans="2:2">
      <c r="B6" s="573"/>
    </row>
    <row r="7" spans="2:2">
      <c r="B7" s="573"/>
    </row>
    <row r="8" spans="2:2" ht="15.6">
      <c r="B8" s="574" t="s">
        <v>1982</v>
      </c>
    </row>
    <row r="9" spans="2:2" ht="15.6">
      <c r="B9" s="575" t="s">
        <v>1983</v>
      </c>
    </row>
    <row r="10" spans="2:2" ht="15">
      <c r="B10" s="576" t="s">
        <v>1984</v>
      </c>
    </row>
    <row r="11" spans="2:2" ht="15">
      <c r="B11" s="575" t="s">
        <v>1985</v>
      </c>
    </row>
    <row r="12" spans="2:2" ht="15">
      <c r="B12" s="575" t="s">
        <v>1986</v>
      </c>
    </row>
    <row r="13" spans="2:2">
      <c r="B13" s="573"/>
    </row>
    <row r="14" spans="2:2">
      <c r="B14" s="573"/>
    </row>
    <row r="15" spans="2:2" ht="15.6">
      <c r="B15" s="574" t="s">
        <v>1987</v>
      </c>
    </row>
    <row r="16" spans="2:2" ht="15.6">
      <c r="B16" s="575" t="s">
        <v>1988</v>
      </c>
    </row>
    <row r="17" spans="2:2" ht="15">
      <c r="B17" s="576" t="s">
        <v>1989</v>
      </c>
    </row>
    <row r="18" spans="2:2" ht="15">
      <c r="B18" s="575" t="s">
        <v>1990</v>
      </c>
    </row>
    <row r="19" spans="2:2" ht="15">
      <c r="B19" s="575" t="s">
        <v>1991</v>
      </c>
    </row>
    <row r="20" spans="2:2">
      <c r="B20" s="573"/>
    </row>
    <row r="21" spans="2:2">
      <c r="B21" s="573"/>
    </row>
    <row r="22" spans="2:2" ht="15.6">
      <c r="B22" s="574" t="s">
        <v>1992</v>
      </c>
    </row>
    <row r="23" spans="2:2" ht="15.6">
      <c r="B23" s="575" t="s">
        <v>1993</v>
      </c>
    </row>
    <row r="24" spans="2:2" ht="15">
      <c r="B24" s="576" t="s">
        <v>1994</v>
      </c>
    </row>
    <row r="25" spans="2:2" ht="15">
      <c r="B25" s="575" t="s">
        <v>1995</v>
      </c>
    </row>
    <row r="26" spans="2:2" ht="15.6">
      <c r="B26" s="575" t="s">
        <v>1996</v>
      </c>
    </row>
    <row r="27" spans="2:2">
      <c r="B27" s="573"/>
    </row>
    <row r="28" spans="2:2">
      <c r="B28" s="573"/>
    </row>
    <row r="29" spans="2:2" ht="15.6">
      <c r="B29" s="574" t="s">
        <v>1997</v>
      </c>
    </row>
    <row r="30" spans="2:2" ht="15.6">
      <c r="B30" s="575" t="s">
        <v>1998</v>
      </c>
    </row>
    <row r="31" spans="2:2" ht="15">
      <c r="B31" s="575" t="s">
        <v>1999</v>
      </c>
    </row>
    <row r="32" spans="2:2" ht="15.6">
      <c r="B32" s="575" t="s">
        <v>2000</v>
      </c>
    </row>
    <row r="33" spans="2:2">
      <c r="B33" s="573"/>
    </row>
    <row r="34" spans="2:2">
      <c r="B34" s="573"/>
    </row>
    <row r="35" spans="2:2" ht="15.6">
      <c r="B35" s="574" t="s">
        <v>2001</v>
      </c>
    </row>
    <row r="36" spans="2:2" ht="25.05" customHeight="1">
      <c r="B36" s="572" t="s">
        <v>2002</v>
      </c>
    </row>
    <row r="37" spans="2:2" ht="15">
      <c r="B37" s="572" t="s">
        <v>1939</v>
      </c>
    </row>
    <row r="38" spans="2:2" ht="15.6">
      <c r="B38" s="577" t="s">
        <v>1940</v>
      </c>
    </row>
    <row r="39" spans="2:2" ht="15">
      <c r="B39" s="578" t="s">
        <v>1941</v>
      </c>
    </row>
    <row r="40" spans="2:2" ht="15">
      <c r="B40" s="579" t="s">
        <v>1942</v>
      </c>
    </row>
    <row r="41" spans="2:2" ht="15">
      <c r="B41" s="580" t="s">
        <v>1943</v>
      </c>
    </row>
    <row r="42" spans="2:2" ht="15">
      <c r="B42" s="580" t="s">
        <v>1944</v>
      </c>
    </row>
    <row r="43" spans="2:2" ht="15">
      <c r="B43" s="580" t="s">
        <v>1945</v>
      </c>
    </row>
    <row r="44" spans="2:2" ht="15">
      <c r="B44" s="580" t="s">
        <v>1946</v>
      </c>
    </row>
    <row r="45" spans="2:2" ht="15">
      <c r="B45" s="578" t="s">
        <v>1947</v>
      </c>
    </row>
    <row r="46" spans="2:2" ht="15">
      <c r="B46" s="578" t="s">
        <v>1948</v>
      </c>
    </row>
    <row r="47" spans="2:2" ht="15">
      <c r="B47" s="578" t="s">
        <v>1949</v>
      </c>
    </row>
    <row r="48" spans="2:2" ht="15">
      <c r="B48" s="578" t="s">
        <v>1950</v>
      </c>
    </row>
    <row r="49" spans="2:2" ht="15.6">
      <c r="B49" s="577" t="s">
        <v>1951</v>
      </c>
    </row>
    <row r="50" spans="2:2" ht="15">
      <c r="B50" s="578" t="s">
        <v>1952</v>
      </c>
    </row>
    <row r="51" spans="2:2" ht="15">
      <c r="B51" s="579" t="s">
        <v>2003</v>
      </c>
    </row>
    <row r="52" spans="2:2" ht="15">
      <c r="B52" s="579" t="s">
        <v>2004</v>
      </c>
    </row>
    <row r="53" spans="2:2" ht="15">
      <c r="B53" s="578" t="s">
        <v>1953</v>
      </c>
    </row>
    <row r="54" spans="2:2" ht="15">
      <c r="B54" s="579" t="s">
        <v>1954</v>
      </c>
    </row>
    <row r="55" spans="2:2" ht="15">
      <c r="B55" s="578" t="s">
        <v>1955</v>
      </c>
    </row>
    <row r="56" spans="2:2">
      <c r="B56" s="573"/>
    </row>
    <row r="57" spans="2:2">
      <c r="B57" s="573"/>
    </row>
    <row r="58" spans="2:2" ht="15.6">
      <c r="B58" s="577"/>
    </row>
    <row r="59" spans="2:2" ht="15.6">
      <c r="B59" s="574" t="s">
        <v>2005</v>
      </c>
    </row>
    <row r="60" spans="2:2" ht="15.6">
      <c r="B60" s="575" t="s">
        <v>2006</v>
      </c>
    </row>
    <row r="61" spans="2:2" ht="15.6">
      <c r="B61" s="575" t="s">
        <v>2007</v>
      </c>
    </row>
    <row r="62" spans="2:2" ht="15.6">
      <c r="B62" s="575" t="s">
        <v>2008</v>
      </c>
    </row>
    <row r="63" spans="2:2" ht="15.6">
      <c r="B63" s="575" t="s">
        <v>2009</v>
      </c>
    </row>
    <row r="64" spans="2:2">
      <c r="B64" s="573"/>
    </row>
    <row r="65" spans="2:2">
      <c r="B65" s="573"/>
    </row>
    <row r="66" spans="2:2" ht="15.6">
      <c r="B66" s="574" t="s">
        <v>2010</v>
      </c>
    </row>
    <row r="67" spans="2:2" ht="15">
      <c r="B67" s="575" t="s">
        <v>2011</v>
      </c>
    </row>
    <row r="68" spans="2:2" ht="15">
      <c r="B68" s="581" t="s">
        <v>2012</v>
      </c>
    </row>
    <row r="69" spans="2:2" ht="15">
      <c r="B69" s="581" t="s">
        <v>2013</v>
      </c>
    </row>
    <row r="70" spans="2:2">
      <c r="B70" s="58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7C73E-ED90-45F3-BB42-42DC979A8165}">
  <sheetPr codeName="Sheet1"/>
  <dimension ref="A1:W58"/>
  <sheetViews>
    <sheetView zoomScale="114" zoomScaleNormal="120" workbookViewId="0">
      <selection activeCell="I2" sqref="I2"/>
    </sheetView>
  </sheetViews>
  <sheetFormatPr defaultColWidth="9.109375" defaultRowHeight="13.2"/>
  <cols>
    <col min="1" max="1" width="9.109375" style="335"/>
    <col min="2" max="2" width="9.5546875" style="334" bestFit="1" customWidth="1"/>
    <col min="3" max="3" width="9.109375" style="379"/>
    <col min="4" max="4" width="4.88671875" style="334" customWidth="1"/>
    <col min="5" max="5" width="4.6640625" style="334" customWidth="1"/>
    <col min="6" max="6" width="9.6640625" style="334" customWidth="1"/>
    <col min="7" max="12" width="9.109375" style="334"/>
    <col min="13" max="13" width="2.33203125" style="334" customWidth="1"/>
    <col min="14" max="14" width="6.33203125" style="334" customWidth="1"/>
    <col min="15" max="15" width="10.5546875" style="334" customWidth="1"/>
    <col min="16" max="16" width="14.5546875" style="334" customWidth="1"/>
    <col min="17" max="17" width="2.33203125" style="334" customWidth="1"/>
    <col min="18" max="18" width="2.44140625" style="334" bestFit="1" customWidth="1"/>
    <col min="19" max="19" width="17.33203125" style="334" customWidth="1"/>
    <col min="20" max="20" width="43.6640625" style="334" customWidth="1"/>
    <col min="21" max="21" width="5.44140625" style="334" customWidth="1"/>
    <col min="22" max="22" width="5.33203125" style="334" customWidth="1"/>
    <col min="23" max="23" width="6.33203125" style="334" customWidth="1"/>
    <col min="24" max="16384" width="9.109375" style="334"/>
  </cols>
  <sheetData>
    <row r="1" spans="1:23" ht="21" thickBot="1">
      <c r="A1" s="331" t="s">
        <v>149</v>
      </c>
      <c r="B1" s="332" t="s">
        <v>150</v>
      </c>
      <c r="C1" s="333" t="s">
        <v>151</v>
      </c>
      <c r="F1" s="332"/>
      <c r="S1" s="332" t="s">
        <v>14</v>
      </c>
    </row>
    <row r="2" spans="1:23" ht="13.35" customHeight="1" thickBot="1">
      <c r="A2" s="335" t="s">
        <v>152</v>
      </c>
      <c r="B2" s="336" t="s">
        <v>143</v>
      </c>
      <c r="C2" s="336">
        <v>1</v>
      </c>
      <c r="E2" s="905" t="s">
        <v>133</v>
      </c>
      <c r="F2" s="337" t="s">
        <v>58</v>
      </c>
      <c r="G2" s="338">
        <v>5</v>
      </c>
      <c r="H2" s="339">
        <v>15</v>
      </c>
      <c r="I2" s="340">
        <v>19</v>
      </c>
      <c r="J2" s="340">
        <v>22</v>
      </c>
      <c r="K2" s="340">
        <v>24</v>
      </c>
      <c r="L2" s="340">
        <v>25</v>
      </c>
      <c r="O2" s="341" t="s">
        <v>58</v>
      </c>
      <c r="R2" s="342" t="s">
        <v>153</v>
      </c>
      <c r="S2" s="343" t="s">
        <v>37</v>
      </c>
      <c r="T2" s="344" t="s">
        <v>154</v>
      </c>
      <c r="U2" s="345"/>
      <c r="V2" s="346"/>
      <c r="W2" s="346"/>
    </row>
    <row r="3" spans="1:23" ht="13.35" customHeight="1" thickBot="1">
      <c r="A3" s="335" t="s">
        <v>155</v>
      </c>
      <c r="B3" s="336" t="s">
        <v>143</v>
      </c>
      <c r="C3" s="336">
        <v>2</v>
      </c>
      <c r="E3" s="906"/>
      <c r="F3" s="347" t="s">
        <v>59</v>
      </c>
      <c r="G3" s="338">
        <v>4</v>
      </c>
      <c r="H3" s="348">
        <v>10</v>
      </c>
      <c r="I3" s="339">
        <v>14</v>
      </c>
      <c r="J3" s="339">
        <v>18</v>
      </c>
      <c r="K3" s="340">
        <v>21</v>
      </c>
      <c r="L3" s="340">
        <v>23</v>
      </c>
      <c r="O3" s="349" t="s">
        <v>59</v>
      </c>
      <c r="R3" s="342" t="s">
        <v>156</v>
      </c>
      <c r="S3" s="350" t="s">
        <v>43</v>
      </c>
      <c r="T3" s="344" t="s">
        <v>157</v>
      </c>
      <c r="U3" s="345"/>
      <c r="V3" s="346"/>
      <c r="W3" s="346"/>
    </row>
    <row r="4" spans="1:23" ht="13.35" customHeight="1" thickBot="1">
      <c r="A4" s="335" t="s">
        <v>158</v>
      </c>
      <c r="B4" s="336" t="s">
        <v>143</v>
      </c>
      <c r="C4" s="336">
        <v>3</v>
      </c>
      <c r="E4" s="906"/>
      <c r="F4" s="347" t="s">
        <v>159</v>
      </c>
      <c r="G4" s="338">
        <v>3</v>
      </c>
      <c r="H4" s="351">
        <v>6</v>
      </c>
      <c r="I4" s="348">
        <v>9</v>
      </c>
      <c r="J4" s="339">
        <v>13</v>
      </c>
      <c r="K4" s="339">
        <v>17</v>
      </c>
      <c r="L4" s="340">
        <v>20</v>
      </c>
      <c r="O4" s="352" t="s">
        <v>159</v>
      </c>
      <c r="R4" s="342" t="s">
        <v>160</v>
      </c>
      <c r="S4" s="350" t="s">
        <v>41</v>
      </c>
      <c r="T4" s="344" t="s">
        <v>161</v>
      </c>
      <c r="U4" s="345"/>
      <c r="V4" s="346"/>
      <c r="W4" s="346"/>
    </row>
    <row r="5" spans="1:23" ht="13.35" customHeight="1" thickBot="1">
      <c r="A5" s="335" t="s">
        <v>162</v>
      </c>
      <c r="B5" s="353" t="s">
        <v>142</v>
      </c>
      <c r="C5" s="353">
        <v>4</v>
      </c>
      <c r="E5" s="906"/>
      <c r="F5" s="347" t="s">
        <v>142</v>
      </c>
      <c r="G5" s="338">
        <v>2</v>
      </c>
      <c r="H5" s="354">
        <v>3</v>
      </c>
      <c r="I5" s="351">
        <v>5</v>
      </c>
      <c r="J5" s="348">
        <v>8</v>
      </c>
      <c r="K5" s="339">
        <v>12</v>
      </c>
      <c r="L5" s="339">
        <v>16</v>
      </c>
      <c r="O5" s="355" t="s">
        <v>142</v>
      </c>
      <c r="R5" s="342" t="s">
        <v>163</v>
      </c>
      <c r="S5" s="350" t="s">
        <v>50</v>
      </c>
      <c r="T5" s="344" t="s">
        <v>164</v>
      </c>
      <c r="U5" s="345"/>
      <c r="V5" s="346"/>
      <c r="W5" s="346"/>
    </row>
    <row r="6" spans="1:23" ht="13.35" customHeight="1" thickBot="1">
      <c r="A6" s="335" t="s">
        <v>165</v>
      </c>
      <c r="B6" s="353" t="s">
        <v>142</v>
      </c>
      <c r="C6" s="353">
        <v>5</v>
      </c>
      <c r="E6" s="906"/>
      <c r="F6" s="347" t="s">
        <v>143</v>
      </c>
      <c r="G6" s="356">
        <v>1</v>
      </c>
      <c r="H6" s="357">
        <v>1</v>
      </c>
      <c r="I6" s="357">
        <v>2</v>
      </c>
      <c r="J6" s="358">
        <v>4</v>
      </c>
      <c r="K6" s="359">
        <v>7</v>
      </c>
      <c r="L6" s="359">
        <v>11</v>
      </c>
      <c r="O6" s="360" t="s">
        <v>143</v>
      </c>
      <c r="R6" s="342" t="s">
        <v>166</v>
      </c>
      <c r="S6" s="350" t="s">
        <v>40</v>
      </c>
      <c r="T6" s="344" t="s">
        <v>167</v>
      </c>
      <c r="U6" s="345"/>
      <c r="V6" s="346"/>
      <c r="W6" s="346"/>
    </row>
    <row r="7" spans="1:23" ht="13.8" thickBot="1">
      <c r="A7" s="335" t="s">
        <v>168</v>
      </c>
      <c r="B7" s="353" t="s">
        <v>142</v>
      </c>
      <c r="C7" s="353">
        <v>6</v>
      </c>
      <c r="E7" s="906"/>
      <c r="F7" s="347"/>
      <c r="G7" s="361"/>
      <c r="H7" s="362">
        <v>1</v>
      </c>
      <c r="I7" s="362">
        <v>2</v>
      </c>
      <c r="J7" s="362">
        <v>3</v>
      </c>
      <c r="K7" s="362">
        <v>4</v>
      </c>
      <c r="L7" s="362">
        <v>5</v>
      </c>
      <c r="R7" s="342" t="s">
        <v>156</v>
      </c>
      <c r="S7" s="350" t="s">
        <v>44</v>
      </c>
      <c r="T7" s="344" t="s">
        <v>169</v>
      </c>
      <c r="U7" s="345"/>
      <c r="V7" s="346"/>
      <c r="W7" s="346"/>
    </row>
    <row r="8" spans="1:23" ht="27" thickBot="1">
      <c r="A8" s="335" t="s">
        <v>170</v>
      </c>
      <c r="B8" s="363" t="s">
        <v>159</v>
      </c>
      <c r="C8" s="363">
        <v>7</v>
      </c>
      <c r="E8" s="906"/>
      <c r="F8" s="364"/>
      <c r="G8" s="365"/>
      <c r="H8" s="366" t="s">
        <v>144</v>
      </c>
      <c r="I8" s="366" t="s">
        <v>145</v>
      </c>
      <c r="J8" s="366" t="s">
        <v>146</v>
      </c>
      <c r="K8" s="366" t="s">
        <v>147</v>
      </c>
      <c r="L8" s="367" t="s">
        <v>148</v>
      </c>
      <c r="R8" s="368"/>
      <c r="S8" s="368"/>
      <c r="T8" s="368"/>
    </row>
    <row r="9" spans="1:23" ht="20.85" customHeight="1" thickBot="1">
      <c r="A9" s="335" t="s">
        <v>171</v>
      </c>
      <c r="B9" s="363" t="s">
        <v>159</v>
      </c>
      <c r="C9" s="363">
        <v>8</v>
      </c>
      <c r="E9" s="364"/>
      <c r="F9" s="907" t="s">
        <v>140</v>
      </c>
      <c r="G9" s="907"/>
      <c r="H9" s="907"/>
      <c r="I9" s="907"/>
      <c r="J9" s="907"/>
      <c r="K9" s="907"/>
      <c r="L9" s="908"/>
      <c r="R9" s="342" t="s">
        <v>172</v>
      </c>
      <c r="S9" s="350" t="s">
        <v>39</v>
      </c>
      <c r="T9" s="344" t="s">
        <v>173</v>
      </c>
      <c r="U9" s="345"/>
      <c r="V9" s="346"/>
      <c r="W9" s="346"/>
    </row>
    <row r="10" spans="1:23" ht="13.35" customHeight="1">
      <c r="A10" s="335" t="s">
        <v>174</v>
      </c>
      <c r="B10" s="363" t="s">
        <v>159</v>
      </c>
      <c r="C10" s="363">
        <v>9</v>
      </c>
      <c r="R10" s="342" t="s">
        <v>175</v>
      </c>
      <c r="S10" s="350" t="s">
        <v>30</v>
      </c>
      <c r="T10" s="344" t="s">
        <v>176</v>
      </c>
      <c r="U10" s="345"/>
      <c r="V10" s="346"/>
      <c r="W10" s="346"/>
    </row>
    <row r="11" spans="1:23" ht="12.75" customHeight="1">
      <c r="A11" s="335" t="s">
        <v>177</v>
      </c>
      <c r="B11" s="363" t="s">
        <v>159</v>
      </c>
      <c r="C11" s="363">
        <v>10</v>
      </c>
      <c r="R11" s="342" t="s">
        <v>178</v>
      </c>
      <c r="S11" s="350" t="s">
        <v>25</v>
      </c>
      <c r="T11" s="344" t="s">
        <v>179</v>
      </c>
      <c r="U11" s="345"/>
      <c r="V11" s="346"/>
      <c r="W11" s="346"/>
    </row>
    <row r="12" spans="1:23">
      <c r="A12" s="335" t="s">
        <v>180</v>
      </c>
      <c r="B12" s="363" t="s">
        <v>159</v>
      </c>
      <c r="C12" s="363">
        <v>11</v>
      </c>
      <c r="R12" s="342" t="s">
        <v>163</v>
      </c>
      <c r="S12" s="350" t="s">
        <v>48</v>
      </c>
      <c r="T12" s="344" t="s">
        <v>181</v>
      </c>
      <c r="U12" s="345"/>
      <c r="V12" s="346"/>
      <c r="W12" s="346"/>
    </row>
    <row r="13" spans="1:23">
      <c r="A13" s="335" t="s">
        <v>182</v>
      </c>
      <c r="B13" s="369" t="s">
        <v>59</v>
      </c>
      <c r="C13" s="369">
        <v>12</v>
      </c>
      <c r="R13" s="342" t="s">
        <v>183</v>
      </c>
      <c r="S13" s="350" t="s">
        <v>49</v>
      </c>
      <c r="T13" s="344" t="s">
        <v>184</v>
      </c>
      <c r="U13" s="345"/>
      <c r="V13" s="346"/>
      <c r="W13" s="346"/>
    </row>
    <row r="14" spans="1:23" ht="13.8" thickBot="1">
      <c r="A14" s="335" t="s">
        <v>185</v>
      </c>
      <c r="B14" s="369" t="s">
        <v>59</v>
      </c>
      <c r="C14" s="369">
        <v>13</v>
      </c>
      <c r="R14" s="342" t="s">
        <v>178</v>
      </c>
      <c r="S14" s="350" t="s">
        <v>52</v>
      </c>
      <c r="T14" s="344" t="s">
        <v>186</v>
      </c>
      <c r="U14" s="345"/>
      <c r="V14" s="346"/>
      <c r="W14" s="346"/>
    </row>
    <row r="15" spans="1:23" ht="15.6">
      <c r="A15" s="335" t="s">
        <v>187</v>
      </c>
      <c r="B15" s="369" t="s">
        <v>59</v>
      </c>
      <c r="C15" s="369">
        <v>14</v>
      </c>
      <c r="E15" s="909" t="s">
        <v>133</v>
      </c>
      <c r="F15" s="910"/>
      <c r="G15" s="910"/>
      <c r="H15" s="910"/>
      <c r="I15" s="910"/>
      <c r="J15" s="910"/>
      <c r="K15" s="910"/>
      <c r="L15" s="911"/>
      <c r="M15" s="370"/>
      <c r="N15" s="909" t="s">
        <v>140</v>
      </c>
      <c r="O15" s="910"/>
      <c r="P15" s="911"/>
    </row>
    <row r="16" spans="1:23" ht="40.799999999999997">
      <c r="A16" s="335" t="s">
        <v>188</v>
      </c>
      <c r="B16" s="369" t="s">
        <v>59</v>
      </c>
      <c r="C16" s="369">
        <v>15</v>
      </c>
      <c r="E16" s="371" t="s">
        <v>189</v>
      </c>
      <c r="F16" s="371" t="s">
        <v>190</v>
      </c>
      <c r="G16" s="371" t="s">
        <v>191</v>
      </c>
      <c r="H16" s="371" t="s">
        <v>192</v>
      </c>
      <c r="I16" s="371" t="s">
        <v>193</v>
      </c>
      <c r="J16" s="371" t="s">
        <v>194</v>
      </c>
      <c r="K16" s="371" t="s">
        <v>195</v>
      </c>
      <c r="L16" s="371" t="s">
        <v>196</v>
      </c>
      <c r="M16" s="372"/>
      <c r="N16" s="371" t="s">
        <v>189</v>
      </c>
      <c r="O16" s="371" t="s">
        <v>190</v>
      </c>
      <c r="P16" s="371" t="s">
        <v>197</v>
      </c>
    </row>
    <row r="17" spans="1:16" ht="132.6">
      <c r="A17" s="335" t="s">
        <v>198</v>
      </c>
      <c r="B17" s="369" t="s">
        <v>59</v>
      </c>
      <c r="C17" s="369">
        <v>16</v>
      </c>
      <c r="E17" s="350">
        <v>5</v>
      </c>
      <c r="F17" s="350" t="s">
        <v>58</v>
      </c>
      <c r="G17" s="350" t="s">
        <v>199</v>
      </c>
      <c r="H17" s="350" t="s">
        <v>200</v>
      </c>
      <c r="I17" s="350" t="s">
        <v>201</v>
      </c>
      <c r="J17" s="350" t="s">
        <v>202</v>
      </c>
      <c r="K17" s="350" t="s">
        <v>203</v>
      </c>
      <c r="L17" s="350" t="s">
        <v>204</v>
      </c>
      <c r="M17" s="314"/>
      <c r="N17" s="350">
        <v>5</v>
      </c>
      <c r="O17" s="350" t="s">
        <v>205</v>
      </c>
      <c r="P17" s="350" t="s">
        <v>206</v>
      </c>
    </row>
    <row r="18" spans="1:16" ht="102">
      <c r="A18" s="335" t="s">
        <v>207</v>
      </c>
      <c r="B18" s="369" t="s">
        <v>59</v>
      </c>
      <c r="C18" s="369">
        <v>17</v>
      </c>
      <c r="E18" s="350">
        <v>4</v>
      </c>
      <c r="F18" s="350" t="s">
        <v>59</v>
      </c>
      <c r="G18" s="350" t="s">
        <v>208</v>
      </c>
      <c r="H18" s="350" t="s">
        <v>209</v>
      </c>
      <c r="I18" s="350" t="s">
        <v>210</v>
      </c>
      <c r="J18" s="350" t="s">
        <v>211</v>
      </c>
      <c r="K18" s="350" t="s">
        <v>212</v>
      </c>
      <c r="L18" s="350" t="s">
        <v>213</v>
      </c>
      <c r="M18" s="314"/>
      <c r="N18" s="350">
        <v>4</v>
      </c>
      <c r="O18" s="350" t="s">
        <v>147</v>
      </c>
      <c r="P18" s="350" t="s">
        <v>214</v>
      </c>
    </row>
    <row r="19" spans="1:16" ht="91.8">
      <c r="A19" s="335" t="s">
        <v>215</v>
      </c>
      <c r="B19" s="369" t="s">
        <v>59</v>
      </c>
      <c r="C19" s="369">
        <v>18</v>
      </c>
      <c r="E19" s="350">
        <v>3</v>
      </c>
      <c r="F19" s="350" t="s">
        <v>141</v>
      </c>
      <c r="G19" s="350" t="s">
        <v>216</v>
      </c>
      <c r="H19" s="350" t="s">
        <v>217</v>
      </c>
      <c r="I19" s="350" t="s">
        <v>218</v>
      </c>
      <c r="J19" s="350" t="s">
        <v>219</v>
      </c>
      <c r="K19" s="350" t="s">
        <v>220</v>
      </c>
      <c r="L19" s="350" t="s">
        <v>221</v>
      </c>
      <c r="M19" s="314"/>
      <c r="N19" s="350">
        <v>3</v>
      </c>
      <c r="O19" s="350" t="s">
        <v>146</v>
      </c>
      <c r="P19" s="350" t="s">
        <v>222</v>
      </c>
    </row>
    <row r="20" spans="1:16" ht="81.599999999999994">
      <c r="A20" s="335" t="s">
        <v>223</v>
      </c>
      <c r="B20" s="373" t="s">
        <v>58</v>
      </c>
      <c r="C20" s="373">
        <v>19</v>
      </c>
      <c r="E20" s="350">
        <v>2</v>
      </c>
      <c r="F20" s="350" t="s">
        <v>142</v>
      </c>
      <c r="G20" s="350" t="s">
        <v>224</v>
      </c>
      <c r="H20" s="350" t="s">
        <v>225</v>
      </c>
      <c r="I20" s="350" t="s">
        <v>226</v>
      </c>
      <c r="J20" s="350" t="s">
        <v>227</v>
      </c>
      <c r="K20" s="350" t="s">
        <v>228</v>
      </c>
      <c r="L20" s="350" t="s">
        <v>229</v>
      </c>
      <c r="M20" s="314"/>
      <c r="N20" s="350">
        <v>2</v>
      </c>
      <c r="O20" s="350" t="s">
        <v>145</v>
      </c>
      <c r="P20" s="350" t="s">
        <v>230</v>
      </c>
    </row>
    <row r="21" spans="1:16" ht="71.400000000000006">
      <c r="A21" s="335" t="s">
        <v>231</v>
      </c>
      <c r="B21" s="373" t="s">
        <v>58</v>
      </c>
      <c r="C21" s="373">
        <v>20</v>
      </c>
      <c r="E21" s="350">
        <v>1</v>
      </c>
      <c r="F21" s="350" t="s">
        <v>143</v>
      </c>
      <c r="G21" s="350" t="s">
        <v>232</v>
      </c>
      <c r="H21" s="350" t="s">
        <v>233</v>
      </c>
      <c r="I21" s="350" t="s">
        <v>234</v>
      </c>
      <c r="J21" s="350" t="s">
        <v>235</v>
      </c>
      <c r="K21" s="350" t="s">
        <v>236</v>
      </c>
      <c r="L21" s="350" t="s">
        <v>237</v>
      </c>
      <c r="M21" s="314"/>
      <c r="N21" s="350">
        <v>1</v>
      </c>
      <c r="O21" s="350" t="s">
        <v>144</v>
      </c>
      <c r="P21" s="350" t="s">
        <v>238</v>
      </c>
    </row>
    <row r="22" spans="1:16" ht="20.85" customHeight="1">
      <c r="A22" s="335" t="s">
        <v>239</v>
      </c>
      <c r="B22" s="373" t="s">
        <v>58</v>
      </c>
      <c r="C22" s="373">
        <v>21</v>
      </c>
    </row>
    <row r="23" spans="1:16" ht="62.85" customHeight="1">
      <c r="A23" s="335" t="s">
        <v>240</v>
      </c>
      <c r="B23" s="373" t="s">
        <v>58</v>
      </c>
      <c r="C23" s="373">
        <v>22</v>
      </c>
    </row>
    <row r="24" spans="1:16" ht="25.35" customHeight="1">
      <c r="A24" s="335" t="s">
        <v>241</v>
      </c>
      <c r="B24" s="373" t="s">
        <v>58</v>
      </c>
      <c r="C24" s="373">
        <v>23</v>
      </c>
    </row>
    <row r="25" spans="1:16">
      <c r="A25" s="335" t="s">
        <v>242</v>
      </c>
      <c r="B25" s="373" t="s">
        <v>58</v>
      </c>
      <c r="C25" s="373">
        <v>24</v>
      </c>
    </row>
    <row r="26" spans="1:16" ht="37.5" customHeight="1">
      <c r="A26" s="335" t="s">
        <v>243</v>
      </c>
      <c r="B26" s="373" t="s">
        <v>58</v>
      </c>
      <c r="C26" s="373">
        <v>25</v>
      </c>
    </row>
    <row r="27" spans="1:16" s="376" customFormat="1" ht="37.5" customHeight="1">
      <c r="A27" s="374"/>
      <c r="B27" s="375"/>
      <c r="C27" s="375"/>
    </row>
    <row r="28" spans="1:16">
      <c r="A28" s="374"/>
      <c r="C28" s="375"/>
    </row>
    <row r="29" spans="1:16" ht="13.35" customHeight="1">
      <c r="A29" s="374"/>
      <c r="C29" s="375"/>
    </row>
    <row r="30" spans="1:16">
      <c r="A30" s="374"/>
      <c r="C30" s="375"/>
    </row>
    <row r="31" spans="1:16">
      <c r="A31" s="374"/>
      <c r="C31" s="375"/>
    </row>
    <row r="32" spans="1:16">
      <c r="A32" s="374"/>
      <c r="C32" s="375"/>
    </row>
    <row r="33" spans="1:3">
      <c r="A33" s="374"/>
      <c r="C33" s="377"/>
    </row>
    <row r="34" spans="1:3">
      <c r="A34" s="374"/>
      <c r="C34" s="377"/>
    </row>
    <row r="35" spans="1:3" ht="20.25" customHeight="1">
      <c r="A35" s="374"/>
      <c r="C35" s="377"/>
    </row>
    <row r="36" spans="1:3">
      <c r="A36" s="374"/>
      <c r="C36" s="377"/>
    </row>
    <row r="37" spans="1:3">
      <c r="A37" s="374"/>
      <c r="C37" s="377"/>
    </row>
    <row r="38" spans="1:3">
      <c r="A38" s="374"/>
      <c r="C38" s="377"/>
    </row>
    <row r="39" spans="1:3">
      <c r="A39" s="374"/>
      <c r="C39" s="377"/>
    </row>
    <row r="40" spans="1:3">
      <c r="A40" s="374"/>
      <c r="C40" s="377"/>
    </row>
    <row r="41" spans="1:3">
      <c r="A41" s="374"/>
      <c r="C41" s="377"/>
    </row>
    <row r="42" spans="1:3">
      <c r="A42" s="374"/>
      <c r="C42" s="377"/>
    </row>
    <row r="43" spans="1:3">
      <c r="A43" s="374"/>
      <c r="C43" s="377"/>
    </row>
    <row r="44" spans="1:3">
      <c r="A44" s="374"/>
      <c r="C44" s="377"/>
    </row>
    <row r="45" spans="1:3">
      <c r="A45" s="374"/>
      <c r="C45" s="377"/>
    </row>
    <row r="46" spans="1:3">
      <c r="A46" s="374"/>
      <c r="C46" s="377"/>
    </row>
    <row r="47" spans="1:3">
      <c r="A47" s="374"/>
      <c r="C47" s="377"/>
    </row>
    <row r="48" spans="1:3">
      <c r="A48" s="374"/>
      <c r="C48" s="377"/>
    </row>
    <row r="49" spans="1:3">
      <c r="A49" s="374"/>
      <c r="C49" s="377"/>
    </row>
    <row r="50" spans="1:3">
      <c r="A50" s="374"/>
      <c r="C50" s="377"/>
    </row>
    <row r="51" spans="1:3">
      <c r="A51" s="374"/>
      <c r="C51" s="377"/>
    </row>
    <row r="52" spans="1:3">
      <c r="A52" s="374"/>
      <c r="C52" s="377"/>
    </row>
    <row r="53" spans="1:3">
      <c r="A53" s="374"/>
      <c r="C53" s="377"/>
    </row>
    <row r="54" spans="1:3">
      <c r="A54" s="374"/>
      <c r="C54" s="377"/>
    </row>
    <row r="55" spans="1:3">
      <c r="A55" s="374"/>
      <c r="C55" s="377"/>
    </row>
    <row r="56" spans="1:3">
      <c r="A56" s="374"/>
      <c r="C56" s="377"/>
    </row>
    <row r="57" spans="1:3">
      <c r="A57" s="374"/>
      <c r="C57" s="377"/>
    </row>
    <row r="58" spans="1:3">
      <c r="A58" s="374"/>
      <c r="C58" s="378"/>
    </row>
  </sheetData>
  <mergeCells count="4">
    <mergeCell ref="E2:E8"/>
    <mergeCell ref="F9:L9"/>
    <mergeCell ref="E15:L15"/>
    <mergeCell ref="N15:P15"/>
  </mergeCell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ADDC-CDC0-49AA-8269-7314869BC1F3}">
  <sheetPr codeName="Sheet8"/>
  <dimension ref="A1:V29"/>
  <sheetViews>
    <sheetView workbookViewId="0">
      <selection activeCell="G15" sqref="G15"/>
    </sheetView>
  </sheetViews>
  <sheetFormatPr defaultColWidth="9.109375" defaultRowHeight="13.2"/>
  <cols>
    <col min="1" max="2" width="18" style="334" customWidth="1"/>
    <col min="3" max="3" width="33" style="334" customWidth="1"/>
    <col min="4" max="6" width="10.6640625" style="334" customWidth="1"/>
    <col min="7" max="7" width="9.109375" style="334"/>
    <col min="8" max="8" width="19.33203125" style="334" customWidth="1"/>
    <col min="9" max="11" width="18.5546875" style="334" customWidth="1"/>
    <col min="12" max="12" width="9.109375" style="334"/>
    <col min="13" max="13" width="26.33203125" style="334" customWidth="1"/>
    <col min="14" max="16" width="9.109375" style="334"/>
    <col min="17" max="17" width="16.6640625" style="334" customWidth="1"/>
    <col min="18" max="18" width="9.109375" style="334"/>
    <col min="19" max="19" width="11" style="334" customWidth="1"/>
    <col min="20" max="20" width="11.5546875" style="334" customWidth="1"/>
    <col min="21" max="21" width="9.109375" style="334"/>
    <col min="22" max="22" width="17.44140625" style="334" customWidth="1"/>
    <col min="23" max="16384" width="9.109375" style="334"/>
  </cols>
  <sheetData>
    <row r="1" spans="1:22">
      <c r="A1" s="332" t="s">
        <v>244</v>
      </c>
      <c r="B1" s="332"/>
      <c r="M1" s="332"/>
      <c r="Q1" s="332"/>
      <c r="V1" s="332"/>
    </row>
    <row r="3" spans="1:22" ht="39.6">
      <c r="A3" s="332" t="s">
        <v>13</v>
      </c>
      <c r="B3" s="332" t="s">
        <v>245</v>
      </c>
      <c r="C3" s="332" t="s">
        <v>133</v>
      </c>
      <c r="D3" s="332" t="s">
        <v>140</v>
      </c>
      <c r="E3" s="332" t="s">
        <v>1270</v>
      </c>
      <c r="F3" s="332" t="s">
        <v>1271</v>
      </c>
      <c r="G3" s="332" t="s">
        <v>94</v>
      </c>
      <c r="H3" s="332" t="s">
        <v>246</v>
      </c>
      <c r="I3" s="332" t="s">
        <v>10</v>
      </c>
      <c r="J3" s="387" t="s">
        <v>1959</v>
      </c>
      <c r="K3" s="387" t="s">
        <v>1960</v>
      </c>
      <c r="M3" s="332"/>
      <c r="N3" s="332"/>
      <c r="Q3" s="332"/>
      <c r="R3" s="332"/>
      <c r="S3" s="332"/>
      <c r="T3" s="332"/>
      <c r="V3" s="332"/>
    </row>
    <row r="4" spans="1:22">
      <c r="A4" s="380" t="s">
        <v>29</v>
      </c>
      <c r="B4" s="313" t="s">
        <v>99</v>
      </c>
      <c r="C4" s="313">
        <v>1</v>
      </c>
      <c r="D4" s="313">
        <v>1</v>
      </c>
      <c r="E4" s="313" t="s">
        <v>1294</v>
      </c>
      <c r="F4" s="313" t="s">
        <v>1295</v>
      </c>
      <c r="G4" s="313" t="s">
        <v>42</v>
      </c>
      <c r="H4" s="313" t="s">
        <v>22</v>
      </c>
      <c r="I4" s="380" t="s">
        <v>9</v>
      </c>
      <c r="J4" s="313">
        <v>1</v>
      </c>
      <c r="K4" s="313">
        <v>0.2</v>
      </c>
      <c r="M4" s="380"/>
      <c r="N4" s="313"/>
    </row>
    <row r="5" spans="1:22">
      <c r="A5" s="380" t="s">
        <v>24</v>
      </c>
      <c r="B5" s="313" t="s">
        <v>1978</v>
      </c>
      <c r="C5" s="313">
        <v>2</v>
      </c>
      <c r="D5" s="313">
        <v>2</v>
      </c>
      <c r="E5" s="313" t="s">
        <v>1296</v>
      </c>
      <c r="F5" s="313" t="s">
        <v>1297</v>
      </c>
      <c r="G5" s="313" t="s">
        <v>32</v>
      </c>
      <c r="H5" s="313" t="s">
        <v>38</v>
      </c>
      <c r="I5" s="380" t="s">
        <v>23</v>
      </c>
      <c r="J5" s="313">
        <v>2</v>
      </c>
      <c r="K5" s="313">
        <v>0.4</v>
      </c>
      <c r="M5" s="380"/>
      <c r="N5" s="313"/>
    </row>
    <row r="6" spans="1:22" ht="26.4">
      <c r="A6" s="380" t="s">
        <v>34</v>
      </c>
      <c r="B6" s="313" t="s">
        <v>100</v>
      </c>
      <c r="C6" s="313">
        <v>3</v>
      </c>
      <c r="D6" s="313">
        <v>3</v>
      </c>
      <c r="E6" s="313" t="s">
        <v>1298</v>
      </c>
      <c r="F6" s="313"/>
      <c r="G6" s="313" t="s">
        <v>27</v>
      </c>
      <c r="H6" s="313" t="s">
        <v>53</v>
      </c>
      <c r="I6" s="380" t="s">
        <v>33</v>
      </c>
      <c r="J6" s="313">
        <v>3</v>
      </c>
      <c r="K6" s="313">
        <v>0.6</v>
      </c>
      <c r="N6" s="313"/>
    </row>
    <row r="7" spans="1:22">
      <c r="A7" s="380" t="s">
        <v>26</v>
      </c>
      <c r="B7" s="313" t="s">
        <v>34</v>
      </c>
      <c r="C7" s="313">
        <v>4</v>
      </c>
      <c r="D7" s="313">
        <v>4</v>
      </c>
      <c r="E7" s="313" t="s">
        <v>1295</v>
      </c>
      <c r="F7" s="313"/>
      <c r="G7" s="313" t="s">
        <v>35</v>
      </c>
      <c r="H7" s="313"/>
      <c r="I7" s="380" t="s">
        <v>97</v>
      </c>
      <c r="J7" s="313">
        <v>4</v>
      </c>
      <c r="K7" s="313">
        <v>0.8</v>
      </c>
      <c r="N7" s="313"/>
    </row>
    <row r="8" spans="1:22">
      <c r="A8" s="313" t="s">
        <v>36</v>
      </c>
      <c r="B8" s="313" t="s">
        <v>1969</v>
      </c>
      <c r="C8" s="381">
        <v>5</v>
      </c>
      <c r="D8" s="381">
        <v>5</v>
      </c>
      <c r="E8" s="381"/>
      <c r="F8" s="381"/>
      <c r="G8" s="313" t="s">
        <v>46</v>
      </c>
      <c r="H8" s="313"/>
      <c r="I8" s="380" t="s">
        <v>47</v>
      </c>
      <c r="J8" s="313">
        <v>5</v>
      </c>
      <c r="K8" s="313">
        <v>1</v>
      </c>
    </row>
    <row r="9" spans="1:22">
      <c r="A9" s="380"/>
      <c r="B9" s="313"/>
      <c r="C9" s="381"/>
      <c r="D9" s="381"/>
      <c r="E9" s="381"/>
      <c r="F9" s="381"/>
      <c r="G9" s="313"/>
      <c r="H9" s="313"/>
      <c r="I9" s="313" t="s">
        <v>31</v>
      </c>
    </row>
    <row r="10" spans="1:22">
      <c r="A10" s="380"/>
      <c r="B10" s="313"/>
      <c r="C10" s="381"/>
      <c r="D10" s="381"/>
      <c r="E10" s="381"/>
      <c r="F10" s="381"/>
      <c r="G10" s="313"/>
      <c r="H10" s="313"/>
      <c r="I10" s="313" t="s">
        <v>28</v>
      </c>
    </row>
    <row r="11" spans="1:22">
      <c r="B11" s="313"/>
      <c r="C11" s="381"/>
      <c r="D11" s="381"/>
      <c r="E11" s="381"/>
      <c r="F11" s="381"/>
      <c r="G11" s="313"/>
      <c r="H11" s="313"/>
      <c r="I11" s="313" t="s">
        <v>57</v>
      </c>
    </row>
    <row r="12" spans="1:22">
      <c r="B12" s="313"/>
      <c r="C12" s="382"/>
      <c r="D12" s="382"/>
      <c r="I12" s="313" t="s">
        <v>56</v>
      </c>
    </row>
    <row r="13" spans="1:22" ht="26.4">
      <c r="B13" s="313"/>
      <c r="I13" s="313" t="s">
        <v>55</v>
      </c>
    </row>
    <row r="14" spans="1:22">
      <c r="B14" s="313"/>
      <c r="I14" s="313" t="s">
        <v>54</v>
      </c>
    </row>
    <row r="15" spans="1:22">
      <c r="B15" s="313"/>
      <c r="I15" s="313" t="s">
        <v>101</v>
      </c>
    </row>
    <row r="16" spans="1:22" ht="26.4">
      <c r="B16" s="313"/>
      <c r="I16" s="313" t="s">
        <v>98</v>
      </c>
    </row>
    <row r="17" spans="2:3">
      <c r="B17" s="313"/>
    </row>
    <row r="18" spans="2:3">
      <c r="B18" s="313"/>
    </row>
    <row r="19" spans="2:3">
      <c r="B19" s="313"/>
    </row>
    <row r="24" spans="2:3" ht="14.4">
      <c r="B24" s="568" t="s">
        <v>1961</v>
      </c>
      <c r="C24" s="568" t="s">
        <v>1962</v>
      </c>
    </row>
    <row r="25" spans="2:3" ht="14.4">
      <c r="B25" s="569">
        <v>1</v>
      </c>
      <c r="C25" s="109" t="s">
        <v>1963</v>
      </c>
    </row>
    <row r="26" spans="2:3" ht="14.4">
      <c r="B26" s="569">
        <v>2</v>
      </c>
      <c r="C26" s="109" t="s">
        <v>1964</v>
      </c>
    </row>
    <row r="27" spans="2:3" ht="14.4">
      <c r="B27" s="569">
        <v>3</v>
      </c>
      <c r="C27" s="109" t="s">
        <v>1965</v>
      </c>
    </row>
    <row r="28" spans="2:3" ht="14.4">
      <c r="B28" s="569">
        <v>4</v>
      </c>
      <c r="C28" s="109" t="s">
        <v>1966</v>
      </c>
    </row>
    <row r="29" spans="2:3" ht="14.4">
      <c r="B29" s="569">
        <v>5</v>
      </c>
      <c r="C29" s="109" t="s">
        <v>1967</v>
      </c>
    </row>
  </sheetData>
  <dataValidations count="1">
    <dataValidation type="list" allowBlank="1" showInputMessage="1" showErrorMessage="1" sqref="A24" xr:uid="{C65E1E57-9481-4652-9801-0520FC54215B}">
      <formula1>rngRisk_Refs</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5894-C12A-4705-B755-80ADE00CBC43}">
  <sheetPr codeName="Sheet22"/>
  <dimension ref="A1:M26"/>
  <sheetViews>
    <sheetView zoomScale="110" zoomScaleNormal="110" workbookViewId="0">
      <selection activeCell="J10" sqref="J10"/>
    </sheetView>
  </sheetViews>
  <sheetFormatPr defaultColWidth="9.109375" defaultRowHeight="13.2"/>
  <cols>
    <col min="1" max="1" width="4.6640625" style="334" customWidth="1"/>
    <col min="2" max="3" width="9.33203125" style="334" customWidth="1"/>
    <col min="4" max="4" width="2.44140625" style="334" customWidth="1"/>
    <col min="5" max="5" width="13.6640625" style="334" customWidth="1"/>
    <col min="6" max="6" width="31" style="334" customWidth="1"/>
    <col min="7" max="7" width="2.6640625" style="334" customWidth="1"/>
    <col min="8" max="8" width="2.44140625" style="334" customWidth="1"/>
    <col min="9" max="9" width="15" style="334" customWidth="1"/>
    <col min="10" max="10" width="31" style="334" customWidth="1"/>
    <col min="11" max="11" width="2.33203125" style="334" customWidth="1"/>
    <col min="12" max="12" width="17.44140625" style="334" customWidth="1"/>
    <col min="13" max="13" width="31" style="334" customWidth="1"/>
    <col min="14" max="16384" width="9.109375" style="334"/>
  </cols>
  <sheetData>
    <row r="1" spans="1:13" ht="26.4">
      <c r="A1" s="383" t="s">
        <v>254</v>
      </c>
      <c r="B1" s="334" t="s">
        <v>32</v>
      </c>
      <c r="D1" s="313"/>
      <c r="E1" s="384" t="s">
        <v>255</v>
      </c>
      <c r="F1" s="385" t="s">
        <v>256</v>
      </c>
      <c r="G1" s="386"/>
      <c r="H1" s="387"/>
      <c r="I1" s="384" t="s">
        <v>257</v>
      </c>
      <c r="J1" s="385" t="s">
        <v>256</v>
      </c>
      <c r="K1" s="386"/>
      <c r="L1" s="384" t="s">
        <v>258</v>
      </c>
      <c r="M1" s="385" t="s">
        <v>256</v>
      </c>
    </row>
    <row r="2" spans="1:13" ht="40.799999999999997">
      <c r="A2" s="383" t="s">
        <v>152</v>
      </c>
      <c r="B2" s="388" t="s">
        <v>248</v>
      </c>
      <c r="D2" s="389">
        <v>1</v>
      </c>
      <c r="E2" s="390" t="s">
        <v>134</v>
      </c>
      <c r="F2" s="343" t="s">
        <v>259</v>
      </c>
      <c r="G2" s="391"/>
      <c r="H2" s="389">
        <v>1</v>
      </c>
      <c r="I2" s="350" t="s">
        <v>135</v>
      </c>
      <c r="J2" s="350" t="s">
        <v>260</v>
      </c>
      <c r="K2" s="350"/>
      <c r="L2" s="350" t="s">
        <v>261</v>
      </c>
      <c r="M2" s="350" t="s">
        <v>262</v>
      </c>
    </row>
    <row r="3" spans="1:13" ht="40.799999999999997">
      <c r="A3" s="383" t="s">
        <v>158</v>
      </c>
      <c r="B3" s="388" t="s">
        <v>248</v>
      </c>
      <c r="D3" s="389">
        <v>2</v>
      </c>
      <c r="E3" s="390" t="s">
        <v>136</v>
      </c>
      <c r="F3" s="343" t="s">
        <v>263</v>
      </c>
      <c r="G3" s="391"/>
      <c r="H3" s="389">
        <v>2</v>
      </c>
      <c r="I3" s="350" t="s">
        <v>137</v>
      </c>
      <c r="J3" s="350" t="s">
        <v>264</v>
      </c>
      <c r="K3" s="350"/>
      <c r="L3" s="350" t="s">
        <v>102</v>
      </c>
      <c r="M3" s="350" t="s">
        <v>265</v>
      </c>
    </row>
    <row r="4" spans="1:13" ht="40.799999999999997">
      <c r="A4" s="383" t="s">
        <v>155</v>
      </c>
      <c r="B4" s="388" t="s">
        <v>248</v>
      </c>
      <c r="D4" s="389">
        <v>3</v>
      </c>
      <c r="E4" s="390" t="s">
        <v>138</v>
      </c>
      <c r="F4" s="343" t="s">
        <v>266</v>
      </c>
      <c r="G4" s="391"/>
      <c r="H4" s="389">
        <v>3</v>
      </c>
      <c r="I4" s="350" t="s">
        <v>139</v>
      </c>
      <c r="J4" s="350" t="s">
        <v>267</v>
      </c>
      <c r="K4" s="350"/>
      <c r="L4" s="350" t="s">
        <v>96</v>
      </c>
      <c r="M4" s="350" t="s">
        <v>268</v>
      </c>
    </row>
    <row r="5" spans="1:13" ht="20.399999999999999">
      <c r="A5" s="383" t="s">
        <v>165</v>
      </c>
      <c r="B5" s="392" t="s">
        <v>141</v>
      </c>
      <c r="D5" s="389">
        <v>0</v>
      </c>
      <c r="E5" s="390" t="s">
        <v>32</v>
      </c>
      <c r="F5" s="343" t="s">
        <v>269</v>
      </c>
      <c r="G5" s="314"/>
      <c r="H5" s="389">
        <v>0</v>
      </c>
      <c r="I5" s="390" t="s">
        <v>32</v>
      </c>
      <c r="J5" s="343" t="s">
        <v>269</v>
      </c>
      <c r="K5" s="314"/>
      <c r="L5" s="350" t="s">
        <v>95</v>
      </c>
      <c r="M5" s="350" t="s">
        <v>270</v>
      </c>
    </row>
    <row r="6" spans="1:13">
      <c r="A6" s="383" t="s">
        <v>168</v>
      </c>
      <c r="B6" s="392" t="s">
        <v>141</v>
      </c>
      <c r="E6" s="314"/>
      <c r="F6" s="314"/>
      <c r="G6" s="314"/>
      <c r="I6" s="370"/>
      <c r="J6" s="314"/>
      <c r="K6" s="314"/>
      <c r="L6" s="350" t="s">
        <v>271</v>
      </c>
      <c r="M6" s="350"/>
    </row>
    <row r="7" spans="1:13">
      <c r="A7" s="383" t="s">
        <v>162</v>
      </c>
      <c r="B7" s="392" t="s">
        <v>141</v>
      </c>
    </row>
    <row r="8" spans="1:13">
      <c r="A8" s="383" t="s">
        <v>174</v>
      </c>
      <c r="B8" s="393" t="s">
        <v>247</v>
      </c>
    </row>
    <row r="9" spans="1:13">
      <c r="A9" s="383" t="s">
        <v>171</v>
      </c>
      <c r="B9" s="393" t="s">
        <v>247</v>
      </c>
    </row>
    <row r="10" spans="1:13">
      <c r="A10" s="383" t="s">
        <v>185</v>
      </c>
      <c r="B10" s="393" t="s">
        <v>247</v>
      </c>
    </row>
    <row r="12" spans="1:13">
      <c r="B12" s="394" t="s">
        <v>248</v>
      </c>
    </row>
    <row r="13" spans="1:13">
      <c r="B13" s="395" t="s">
        <v>141</v>
      </c>
    </row>
    <row r="14" spans="1:13">
      <c r="B14" s="396" t="s">
        <v>247</v>
      </c>
    </row>
    <row r="17" spans="2:3" ht="26.4">
      <c r="B17" s="397" t="s">
        <v>131</v>
      </c>
      <c r="C17" s="397" t="s">
        <v>132</v>
      </c>
    </row>
    <row r="18" spans="2:3">
      <c r="B18" s="398" t="s">
        <v>134</v>
      </c>
      <c r="C18" s="398" t="s">
        <v>135</v>
      </c>
    </row>
    <row r="19" spans="2:3">
      <c r="B19" s="398" t="s">
        <v>136</v>
      </c>
      <c r="C19" s="398" t="s">
        <v>135</v>
      </c>
    </row>
    <row r="20" spans="2:3">
      <c r="B20" s="398" t="s">
        <v>134</v>
      </c>
      <c r="C20" s="398" t="s">
        <v>137</v>
      </c>
    </row>
    <row r="21" spans="2:3">
      <c r="B21" s="399" t="s">
        <v>136</v>
      </c>
      <c r="C21" s="399" t="s">
        <v>137</v>
      </c>
    </row>
    <row r="22" spans="2:3">
      <c r="B22" s="399" t="s">
        <v>138</v>
      </c>
      <c r="C22" s="399" t="s">
        <v>135</v>
      </c>
    </row>
    <row r="23" spans="2:3">
      <c r="B23" s="399" t="s">
        <v>134</v>
      </c>
      <c r="C23" s="399" t="s">
        <v>139</v>
      </c>
    </row>
    <row r="24" spans="2:3">
      <c r="B24" s="400" t="s">
        <v>138</v>
      </c>
      <c r="C24" s="400" t="s">
        <v>137</v>
      </c>
    </row>
    <row r="25" spans="2:3">
      <c r="B25" s="400" t="s">
        <v>136</v>
      </c>
      <c r="C25" s="400" t="s">
        <v>139</v>
      </c>
    </row>
    <row r="26" spans="2:3">
      <c r="B26" s="400" t="s">
        <v>138</v>
      </c>
      <c r="C26" s="400" t="s">
        <v>139</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2:Y20"/>
  <sheetViews>
    <sheetView zoomScale="80" zoomScaleNormal="80" workbookViewId="0">
      <selection activeCell="C28" sqref="C28"/>
    </sheetView>
  </sheetViews>
  <sheetFormatPr defaultRowHeight="13.2"/>
  <cols>
    <col min="18" max="19" width="8.6640625" customWidth="1"/>
    <col min="23" max="23" width="1.6640625" style="64" customWidth="1"/>
    <col min="24" max="25" width="17.33203125" customWidth="1"/>
  </cols>
  <sheetData>
    <row r="2" spans="2:25" ht="20.25" customHeight="1">
      <c r="B2" s="914" t="s">
        <v>128</v>
      </c>
      <c r="C2" s="914"/>
      <c r="D2" s="914"/>
      <c r="E2" s="914"/>
      <c r="F2" s="914"/>
      <c r="G2" s="914"/>
      <c r="H2" s="914"/>
      <c r="I2" s="64"/>
      <c r="J2" s="914" t="s">
        <v>129</v>
      </c>
      <c r="K2" s="914"/>
      <c r="L2" s="914"/>
      <c r="M2" s="914"/>
      <c r="N2" s="914"/>
      <c r="O2" s="914"/>
      <c r="P2" s="914"/>
      <c r="R2" s="914" t="s">
        <v>130</v>
      </c>
      <c r="S2" s="914"/>
      <c r="T2" s="914"/>
      <c r="U2" s="914"/>
      <c r="V2" s="914"/>
      <c r="W2" s="87"/>
    </row>
    <row r="3" spans="2:25" ht="13.8" thickBot="1">
      <c r="B3" s="64"/>
      <c r="C3" s="64"/>
      <c r="D3" s="64"/>
      <c r="E3" s="64"/>
      <c r="F3" s="64"/>
      <c r="G3" s="64"/>
      <c r="H3" s="64"/>
      <c r="I3" s="64"/>
      <c r="J3" s="64"/>
      <c r="K3" s="64"/>
      <c r="L3" s="64"/>
      <c r="M3" s="64"/>
      <c r="N3" s="64"/>
      <c r="O3" s="64"/>
      <c r="P3" s="64"/>
      <c r="R3" s="64"/>
      <c r="S3" s="64"/>
      <c r="T3" s="64"/>
      <c r="U3" s="64"/>
      <c r="V3" s="64"/>
      <c r="X3" s="84" t="s">
        <v>131</v>
      </c>
      <c r="Y3" s="84" t="s">
        <v>132</v>
      </c>
    </row>
    <row r="4" spans="2:25" ht="39" customHeight="1" thickBot="1">
      <c r="B4" s="912" t="s">
        <v>133</v>
      </c>
      <c r="C4" s="46">
        <v>5</v>
      </c>
      <c r="D4" s="43">
        <f>$C4*$D$9</f>
        <v>5</v>
      </c>
      <c r="E4" s="42">
        <f>$C4*E$9</f>
        <v>10</v>
      </c>
      <c r="F4" s="42">
        <f>$C4*$F$9</f>
        <v>15</v>
      </c>
      <c r="G4" s="42">
        <f>$C4*$G$9</f>
        <v>20</v>
      </c>
      <c r="H4" s="42">
        <f>$C4*$H$9</f>
        <v>25</v>
      </c>
      <c r="I4" s="64"/>
      <c r="J4" s="918" t="s">
        <v>133</v>
      </c>
      <c r="K4" s="25">
        <v>5</v>
      </c>
      <c r="L4" s="43">
        <f>$K4*$L$9</f>
        <v>5</v>
      </c>
      <c r="M4" s="42">
        <f>$K4*$M$9</f>
        <v>10</v>
      </c>
      <c r="N4" s="42">
        <f>$K4*$N$9</f>
        <v>15</v>
      </c>
      <c r="O4" s="42">
        <f>$K4*$O$9</f>
        <v>20</v>
      </c>
      <c r="P4" s="42">
        <f>$K4*$P$9</f>
        <v>25</v>
      </c>
      <c r="R4" s="918" t="s">
        <v>89</v>
      </c>
      <c r="S4" s="25">
        <v>3</v>
      </c>
      <c r="T4" s="86">
        <f>$S4*$T$7</f>
        <v>3</v>
      </c>
      <c r="U4" s="44">
        <f>$S4*$U$7</f>
        <v>6</v>
      </c>
      <c r="V4" s="44">
        <f>$S4*$V$7</f>
        <v>9</v>
      </c>
      <c r="W4" s="88"/>
      <c r="X4" s="81" t="s">
        <v>134</v>
      </c>
      <c r="Y4" s="81" t="s">
        <v>135</v>
      </c>
    </row>
    <row r="5" spans="2:25" ht="39" customHeight="1" thickBot="1">
      <c r="B5" s="913"/>
      <c r="C5" s="46">
        <v>4</v>
      </c>
      <c r="D5" s="45">
        <f t="shared" ref="D5:D8" si="0">$C5*$D$9</f>
        <v>4</v>
      </c>
      <c r="E5" s="43">
        <f t="shared" ref="E5:E8" si="1">$C5*E$9</f>
        <v>8</v>
      </c>
      <c r="F5" s="43">
        <f t="shared" ref="F5:F8" si="2">$C5*$F$9</f>
        <v>12</v>
      </c>
      <c r="G5" s="42">
        <f t="shared" ref="G5:G8" si="3">$C5*$G$9</f>
        <v>16</v>
      </c>
      <c r="H5" s="42">
        <f t="shared" ref="H5:H8" si="4">$C5*$H$9</f>
        <v>20</v>
      </c>
      <c r="I5" s="64"/>
      <c r="J5" s="919"/>
      <c r="K5" s="25">
        <v>4</v>
      </c>
      <c r="L5" s="45">
        <f t="shared" ref="L5:L8" si="5">$K5*$L$9</f>
        <v>4</v>
      </c>
      <c r="M5" s="43">
        <f t="shared" ref="M5:M8" si="6">$K5*$M$9</f>
        <v>8</v>
      </c>
      <c r="N5" s="43">
        <f t="shared" ref="N5:N8" si="7">$K5*$N$9</f>
        <v>12</v>
      </c>
      <c r="O5" s="42">
        <f t="shared" ref="O5:O8" si="8">$K5*$O$9</f>
        <v>16</v>
      </c>
      <c r="P5" s="42">
        <f t="shared" ref="P5:P8" si="9">$K5*$P$9</f>
        <v>20</v>
      </c>
      <c r="R5" s="919"/>
      <c r="S5" s="25">
        <v>2</v>
      </c>
      <c r="T5" s="85">
        <f t="shared" ref="T5:T6" si="10">$S5*$T$7</f>
        <v>2</v>
      </c>
      <c r="U5" s="86">
        <f t="shared" ref="U5:U6" si="11">$S5*$U$7</f>
        <v>4</v>
      </c>
      <c r="V5" s="44">
        <f t="shared" ref="V5:V6" si="12">$S5*$V$7</f>
        <v>6</v>
      </c>
      <c r="W5" s="88"/>
      <c r="X5" s="81" t="s">
        <v>136</v>
      </c>
      <c r="Y5" s="81" t="s">
        <v>135</v>
      </c>
    </row>
    <row r="6" spans="2:25" ht="39" customHeight="1" thickBot="1">
      <c r="B6" s="913"/>
      <c r="C6" s="46">
        <v>3</v>
      </c>
      <c r="D6" s="24">
        <f t="shared" si="0"/>
        <v>3</v>
      </c>
      <c r="E6" s="45">
        <f t="shared" si="1"/>
        <v>6</v>
      </c>
      <c r="F6" s="43">
        <f t="shared" si="2"/>
        <v>9</v>
      </c>
      <c r="G6" s="43">
        <f t="shared" si="3"/>
        <v>12</v>
      </c>
      <c r="H6" s="42">
        <f t="shared" si="4"/>
        <v>15</v>
      </c>
      <c r="I6" s="64"/>
      <c r="J6" s="919"/>
      <c r="K6" s="25">
        <v>3</v>
      </c>
      <c r="L6" s="24">
        <f t="shared" si="5"/>
        <v>3</v>
      </c>
      <c r="M6" s="45">
        <f t="shared" si="6"/>
        <v>6</v>
      </c>
      <c r="N6" s="43">
        <f t="shared" si="7"/>
        <v>9</v>
      </c>
      <c r="O6" s="43">
        <f t="shared" si="8"/>
        <v>12</v>
      </c>
      <c r="P6" s="42">
        <f t="shared" si="9"/>
        <v>15</v>
      </c>
      <c r="R6" s="919"/>
      <c r="S6" s="26">
        <v>1</v>
      </c>
      <c r="T6" s="85">
        <f t="shared" si="10"/>
        <v>1</v>
      </c>
      <c r="U6" s="85">
        <f t="shared" si="11"/>
        <v>2</v>
      </c>
      <c r="V6" s="86">
        <f t="shared" si="12"/>
        <v>3</v>
      </c>
      <c r="W6" s="88"/>
      <c r="X6" s="81" t="s">
        <v>134</v>
      </c>
      <c r="Y6" s="81" t="s">
        <v>137</v>
      </c>
    </row>
    <row r="7" spans="2:25" ht="39" customHeight="1" thickBot="1">
      <c r="B7" s="913"/>
      <c r="C7" s="46">
        <v>2</v>
      </c>
      <c r="D7" s="597">
        <f t="shared" si="0"/>
        <v>2</v>
      </c>
      <c r="E7" s="24">
        <f t="shared" si="1"/>
        <v>4</v>
      </c>
      <c r="F7" s="45">
        <f t="shared" si="2"/>
        <v>6</v>
      </c>
      <c r="G7" s="43">
        <f t="shared" si="3"/>
        <v>8</v>
      </c>
      <c r="H7" s="43">
        <f t="shared" si="4"/>
        <v>10</v>
      </c>
      <c r="I7" s="64"/>
      <c r="J7" s="919"/>
      <c r="K7" s="25">
        <v>2</v>
      </c>
      <c r="L7" s="597">
        <f t="shared" si="5"/>
        <v>2</v>
      </c>
      <c r="M7" s="24">
        <f t="shared" si="6"/>
        <v>4</v>
      </c>
      <c r="N7" s="45">
        <f t="shared" si="7"/>
        <v>6</v>
      </c>
      <c r="O7" s="43">
        <f t="shared" si="8"/>
        <v>8</v>
      </c>
      <c r="P7" s="43">
        <f t="shared" si="9"/>
        <v>10</v>
      </c>
      <c r="R7" s="919"/>
      <c r="S7" s="27"/>
      <c r="T7" s="28">
        <v>1</v>
      </c>
      <c r="U7" s="28">
        <v>2</v>
      </c>
      <c r="V7" s="28">
        <v>3</v>
      </c>
      <c r="W7" s="89"/>
      <c r="X7" s="82" t="s">
        <v>136</v>
      </c>
      <c r="Y7" s="82" t="s">
        <v>137</v>
      </c>
    </row>
    <row r="8" spans="2:25" ht="39" customHeight="1" thickBot="1">
      <c r="B8" s="913"/>
      <c r="C8" s="47">
        <v>1</v>
      </c>
      <c r="D8" s="597">
        <f t="shared" si="0"/>
        <v>1</v>
      </c>
      <c r="E8" s="597">
        <f t="shared" si="1"/>
        <v>2</v>
      </c>
      <c r="F8" s="24">
        <f t="shared" si="2"/>
        <v>3</v>
      </c>
      <c r="G8" s="45">
        <f t="shared" si="3"/>
        <v>4</v>
      </c>
      <c r="H8" s="45">
        <f t="shared" si="4"/>
        <v>5</v>
      </c>
      <c r="I8" s="64"/>
      <c r="J8" s="919"/>
      <c r="K8" s="26">
        <v>1</v>
      </c>
      <c r="L8" s="597">
        <f t="shared" si="5"/>
        <v>1</v>
      </c>
      <c r="M8" s="597">
        <f t="shared" si="6"/>
        <v>2</v>
      </c>
      <c r="N8" s="24">
        <f t="shared" si="7"/>
        <v>3</v>
      </c>
      <c r="O8" s="45">
        <f t="shared" si="8"/>
        <v>4</v>
      </c>
      <c r="P8" s="45">
        <f t="shared" si="9"/>
        <v>5</v>
      </c>
      <c r="R8" s="91"/>
      <c r="S8" s="920" t="s">
        <v>90</v>
      </c>
      <c r="T8" s="920"/>
      <c r="U8" s="920"/>
      <c r="V8" s="921"/>
      <c r="W8" s="90"/>
      <c r="X8" s="82" t="s">
        <v>138</v>
      </c>
      <c r="Y8" s="82" t="s">
        <v>135</v>
      </c>
    </row>
    <row r="9" spans="2:25" ht="39" customHeight="1" thickBot="1">
      <c r="B9" s="913"/>
      <c r="C9" s="27"/>
      <c r="D9" s="23">
        <v>1</v>
      </c>
      <c r="E9" s="23">
        <v>2</v>
      </c>
      <c r="F9" s="23">
        <v>3</v>
      </c>
      <c r="G9" s="23">
        <v>4</v>
      </c>
      <c r="H9" s="23">
        <v>5</v>
      </c>
      <c r="I9" s="64"/>
      <c r="J9" s="919"/>
      <c r="K9" s="27"/>
      <c r="L9" s="28">
        <v>1</v>
      </c>
      <c r="M9" s="28">
        <v>2</v>
      </c>
      <c r="N9" s="28">
        <v>3</v>
      </c>
      <c r="O9" s="28">
        <v>4</v>
      </c>
      <c r="P9" s="28">
        <v>5</v>
      </c>
      <c r="X9" s="82" t="s">
        <v>134</v>
      </c>
      <c r="Y9" s="82" t="s">
        <v>139</v>
      </c>
    </row>
    <row r="10" spans="2:25" ht="39" customHeight="1" thickBot="1">
      <c r="B10" s="915" t="s">
        <v>140</v>
      </c>
      <c r="C10" s="916"/>
      <c r="D10" s="916"/>
      <c r="E10" s="916"/>
      <c r="F10" s="916"/>
      <c r="G10" s="916"/>
      <c r="H10" s="917"/>
      <c r="I10" s="64"/>
      <c r="J10" s="915" t="s">
        <v>140</v>
      </c>
      <c r="K10" s="916"/>
      <c r="L10" s="916"/>
      <c r="M10" s="916"/>
      <c r="N10" s="916"/>
      <c r="O10" s="916"/>
      <c r="P10" s="917"/>
      <c r="X10" s="83" t="s">
        <v>138</v>
      </c>
      <c r="Y10" s="83" t="s">
        <v>137</v>
      </c>
    </row>
    <row r="11" spans="2:25">
      <c r="X11" s="83" t="s">
        <v>136</v>
      </c>
      <c r="Y11" s="83" t="s">
        <v>139</v>
      </c>
    </row>
    <row r="12" spans="2:25" ht="13.8" thickBot="1">
      <c r="X12" s="83" t="s">
        <v>138</v>
      </c>
      <c r="Y12" s="83" t="s">
        <v>139</v>
      </c>
    </row>
    <row r="13" spans="2:25" ht="13.8" thickBot="1">
      <c r="E13" s="922" t="s">
        <v>133</v>
      </c>
      <c r="F13" s="75" t="s">
        <v>58</v>
      </c>
      <c r="G13" s="25">
        <v>5</v>
      </c>
      <c r="H13" s="65">
        <v>15</v>
      </c>
      <c r="I13" s="66">
        <v>19</v>
      </c>
      <c r="J13" s="66">
        <v>22</v>
      </c>
      <c r="K13" s="66">
        <v>24</v>
      </c>
      <c r="L13" s="66">
        <v>25</v>
      </c>
    </row>
    <row r="14" spans="2:25" ht="13.8" thickBot="1">
      <c r="E14" s="923"/>
      <c r="F14" s="76" t="s">
        <v>59</v>
      </c>
      <c r="G14" s="25">
        <v>4</v>
      </c>
      <c r="H14" s="67">
        <v>10</v>
      </c>
      <c r="I14" s="65">
        <v>14</v>
      </c>
      <c r="J14" s="65">
        <v>18</v>
      </c>
      <c r="K14" s="66">
        <v>21</v>
      </c>
      <c r="L14" s="66">
        <v>23</v>
      </c>
    </row>
    <row r="15" spans="2:25" ht="13.8" thickBot="1">
      <c r="E15" s="923"/>
      <c r="F15" s="76" t="s">
        <v>141</v>
      </c>
      <c r="G15" s="25">
        <v>3</v>
      </c>
      <c r="H15" s="68">
        <v>6</v>
      </c>
      <c r="I15" s="67">
        <v>9</v>
      </c>
      <c r="J15" s="65">
        <v>13</v>
      </c>
      <c r="K15" s="65">
        <v>17</v>
      </c>
      <c r="L15" s="66">
        <v>20</v>
      </c>
    </row>
    <row r="16" spans="2:25" ht="13.8" thickBot="1">
      <c r="E16" s="923"/>
      <c r="F16" s="76" t="s">
        <v>142</v>
      </c>
      <c r="G16" s="25">
        <v>2</v>
      </c>
      <c r="H16" s="69">
        <v>3</v>
      </c>
      <c r="I16" s="68">
        <v>5</v>
      </c>
      <c r="J16" s="67">
        <v>8</v>
      </c>
      <c r="K16" s="65">
        <v>12</v>
      </c>
      <c r="L16" s="65">
        <v>16</v>
      </c>
    </row>
    <row r="17" spans="5:12" ht="13.8" thickBot="1">
      <c r="E17" s="923"/>
      <c r="F17" s="76" t="s">
        <v>143</v>
      </c>
      <c r="G17" s="26">
        <v>1</v>
      </c>
      <c r="H17" s="70">
        <v>1</v>
      </c>
      <c r="I17" s="70">
        <v>2</v>
      </c>
      <c r="J17" s="71">
        <v>4</v>
      </c>
      <c r="K17" s="72">
        <v>7</v>
      </c>
      <c r="L17" s="72">
        <v>11</v>
      </c>
    </row>
    <row r="18" spans="5:12" ht="13.8" thickBot="1">
      <c r="E18" s="923"/>
      <c r="F18" s="76"/>
      <c r="G18" s="73"/>
      <c r="H18" s="28">
        <v>1</v>
      </c>
      <c r="I18" s="28">
        <v>2</v>
      </c>
      <c r="J18" s="28">
        <v>3</v>
      </c>
      <c r="K18" s="28">
        <v>4</v>
      </c>
      <c r="L18" s="28">
        <v>5</v>
      </c>
    </row>
    <row r="19" spans="5:12" ht="27" thickBot="1">
      <c r="E19" s="923"/>
      <c r="F19" s="74"/>
      <c r="G19" s="77"/>
      <c r="H19" s="78" t="s">
        <v>144</v>
      </c>
      <c r="I19" s="78" t="s">
        <v>145</v>
      </c>
      <c r="J19" s="78" t="s">
        <v>146</v>
      </c>
      <c r="K19" s="78" t="s">
        <v>147</v>
      </c>
      <c r="L19" s="79" t="s">
        <v>148</v>
      </c>
    </row>
    <row r="20" spans="5:12" ht="21" thickBot="1">
      <c r="E20" s="74"/>
      <c r="F20" s="924" t="s">
        <v>140</v>
      </c>
      <c r="G20" s="924"/>
      <c r="H20" s="924"/>
      <c r="I20" s="924"/>
      <c r="J20" s="924"/>
      <c r="K20" s="924"/>
      <c r="L20" s="925"/>
    </row>
  </sheetData>
  <customSheetViews>
    <customSheetView guid="{C2C64AFF-719D-4BC9-890F-147B4447CC0D}" scale="70" fitToPage="1">
      <selection activeCell="D17" sqref="D17:M17"/>
      <pageMargins left="0" right="0" top="0" bottom="0" header="0" footer="0"/>
      <pageSetup paperSize="9" scale="61" orientation="landscape" r:id="rId1"/>
    </customSheetView>
    <customSheetView guid="{CFB060A1-0877-4347-95EC-FD6452ADBD74}" scale="70" fitToPage="1">
      <selection activeCell="K9" sqref="K9"/>
      <pageMargins left="0" right="0" top="0" bottom="0" header="0" footer="0"/>
      <pageSetup paperSize="9" scale="61" orientation="landscape" r:id="rId2"/>
    </customSheetView>
  </customSheetViews>
  <mergeCells count="11">
    <mergeCell ref="R2:V2"/>
    <mergeCell ref="R4:R7"/>
    <mergeCell ref="S8:V8"/>
    <mergeCell ref="E13:E19"/>
    <mergeCell ref="F20:L20"/>
    <mergeCell ref="J2:P2"/>
    <mergeCell ref="B4:B9"/>
    <mergeCell ref="B2:H2"/>
    <mergeCell ref="B10:H10"/>
    <mergeCell ref="J10:P10"/>
    <mergeCell ref="J4:J9"/>
  </mergeCells>
  <pageMargins left="0.70866141732283472" right="0.70866141732283472" top="0.74803149606299213" bottom="0.74803149606299213" header="0.31496062992125984" footer="0.31496062992125984"/>
  <pageSetup paperSize="9" orientation="landscape"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95280-3F73-4071-95D3-E46C170568C3}">
  <sheetPr codeName="Sheet21"/>
  <dimension ref="A1:C23"/>
  <sheetViews>
    <sheetView topLeftCell="E1" workbookViewId="0">
      <selection activeCell="J2" sqref="J2"/>
    </sheetView>
  </sheetViews>
  <sheetFormatPr defaultRowHeight="13.2"/>
  <cols>
    <col min="1" max="1" width="13.44140625" bestFit="1" customWidth="1"/>
    <col min="2" max="2" width="13.6640625" style="443" bestFit="1" customWidth="1"/>
    <col min="3" max="3" width="12.77734375" bestFit="1" customWidth="1"/>
    <col min="10" max="10" width="25.33203125" customWidth="1"/>
    <col min="11" max="11" width="12.88671875" bestFit="1" customWidth="1"/>
  </cols>
  <sheetData>
    <row r="1" spans="1:3" ht="26.4">
      <c r="A1" s="442" t="s">
        <v>1321</v>
      </c>
      <c r="B1" t="s">
        <v>1323</v>
      </c>
      <c r="C1" t="s">
        <v>1324</v>
      </c>
    </row>
    <row r="2" spans="1:3">
      <c r="A2" s="80" t="s">
        <v>56</v>
      </c>
      <c r="B2" s="443">
        <v>120002.4</v>
      </c>
      <c r="C2" s="443">
        <v>80001.600000000006</v>
      </c>
    </row>
    <row r="3" spans="1:3">
      <c r="A3" s="80" t="s">
        <v>33</v>
      </c>
      <c r="B3" s="443">
        <v>320000</v>
      </c>
      <c r="C3" s="443">
        <v>120000</v>
      </c>
    </row>
    <row r="4" spans="1:3">
      <c r="A4" s="80" t="s">
        <v>1322</v>
      </c>
      <c r="B4" s="443">
        <v>440002.4</v>
      </c>
      <c r="C4" s="443">
        <v>200001.6</v>
      </c>
    </row>
    <row r="5" spans="1:3">
      <c r="B5"/>
    </row>
    <row r="6" spans="1:3">
      <c r="B6"/>
    </row>
    <row r="7" spans="1:3">
      <c r="B7"/>
    </row>
    <row r="8" spans="1:3">
      <c r="B8"/>
    </row>
    <row r="9" spans="1:3">
      <c r="B9"/>
    </row>
    <row r="10" spans="1:3">
      <c r="B10"/>
    </row>
    <row r="11" spans="1:3">
      <c r="B11"/>
    </row>
    <row r="12" spans="1:3">
      <c r="B12"/>
    </row>
    <row r="13" spans="1:3">
      <c r="B13"/>
    </row>
    <row r="14" spans="1:3">
      <c r="B14"/>
    </row>
    <row r="15" spans="1:3">
      <c r="B15"/>
    </row>
    <row r="16" spans="1:3">
      <c r="B16"/>
    </row>
    <row r="17" spans="2:2">
      <c r="B17"/>
    </row>
    <row r="18" spans="2:2">
      <c r="B18"/>
    </row>
    <row r="19" spans="2:2">
      <c r="B19"/>
    </row>
    <row r="20" spans="2:2">
      <c r="B20"/>
    </row>
    <row r="21" spans="2:2">
      <c r="B21"/>
    </row>
    <row r="22" spans="2:2">
      <c r="B22"/>
    </row>
    <row r="23" spans="2:2">
      <c r="B23"/>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9"/>
  <sheetViews>
    <sheetView zoomScale="80" zoomScaleNormal="80" workbookViewId="0">
      <selection activeCell="A5" sqref="A5"/>
    </sheetView>
  </sheetViews>
  <sheetFormatPr defaultColWidth="8.6640625" defaultRowHeight="13.8"/>
  <cols>
    <col min="1" max="1" width="13.6640625" style="6" customWidth="1"/>
    <col min="2" max="2" width="57.33203125" style="6" customWidth="1"/>
    <col min="3" max="3" width="23.6640625" style="6" customWidth="1"/>
    <col min="4" max="4" width="14.6640625" style="6" customWidth="1"/>
    <col min="5" max="5" width="50" style="6" customWidth="1"/>
    <col min="6" max="6" width="15.33203125" style="6" customWidth="1"/>
    <col min="7" max="16384" width="8.6640625" style="6"/>
  </cols>
  <sheetData>
    <row r="1" spans="1:6" s="22" customFormat="1" ht="43.5" customHeight="1">
      <c r="A1" s="3" t="s">
        <v>250</v>
      </c>
      <c r="B1" s="10"/>
      <c r="C1" s="10"/>
      <c r="D1" s="10"/>
      <c r="E1" s="10"/>
      <c r="F1" s="11"/>
    </row>
    <row r="2" spans="1:6" s="32" customFormat="1" ht="27.6">
      <c r="A2" s="29" t="s">
        <v>251</v>
      </c>
      <c r="B2" s="30" t="s">
        <v>252</v>
      </c>
      <c r="C2" s="31" t="s">
        <v>116</v>
      </c>
      <c r="D2" s="31" t="s">
        <v>253</v>
      </c>
      <c r="E2" s="30" t="s">
        <v>127</v>
      </c>
      <c r="F2" s="29" t="s">
        <v>94</v>
      </c>
    </row>
    <row r="3" spans="1:6">
      <c r="A3" s="7"/>
      <c r="B3" s="8"/>
      <c r="C3" s="8"/>
      <c r="D3" s="8"/>
      <c r="E3" s="8"/>
      <c r="F3" s="9"/>
    </row>
    <row r="4" spans="1:6">
      <c r="A4" s="7"/>
      <c r="B4" s="8"/>
      <c r="C4" s="8"/>
      <c r="D4" s="8"/>
      <c r="E4" s="8"/>
      <c r="F4" s="9"/>
    </row>
    <row r="5" spans="1:6">
      <c r="A5" s="7"/>
      <c r="B5" s="8"/>
      <c r="C5" s="8"/>
      <c r="D5" s="8"/>
      <c r="E5" s="8"/>
      <c r="F5" s="9"/>
    </row>
    <row r="6" spans="1:6">
      <c r="A6" s="7"/>
      <c r="B6" s="8"/>
      <c r="C6" s="8"/>
      <c r="D6" s="8"/>
      <c r="E6" s="8"/>
      <c r="F6" s="9"/>
    </row>
    <row r="7" spans="1:6">
      <c r="A7" s="7"/>
      <c r="B7" s="8"/>
      <c r="C7" s="8"/>
      <c r="D7" s="8"/>
      <c r="E7" s="8"/>
      <c r="F7" s="9"/>
    </row>
    <row r="8" spans="1:6">
      <c r="A8" s="7"/>
      <c r="B8" s="8"/>
      <c r="C8" s="8"/>
      <c r="D8" s="8"/>
      <c r="E8" s="8"/>
      <c r="F8" s="9"/>
    </row>
    <row r="9" spans="1:6">
      <c r="A9" s="7"/>
      <c r="B9" s="8"/>
      <c r="C9" s="8"/>
      <c r="D9" s="8"/>
      <c r="E9" s="8"/>
      <c r="F9" s="9"/>
    </row>
    <row r="10" spans="1:6">
      <c r="A10" s="7"/>
      <c r="B10" s="8"/>
      <c r="C10" s="8"/>
      <c r="D10" s="8"/>
      <c r="E10" s="8"/>
      <c r="F10" s="9"/>
    </row>
    <row r="11" spans="1:6">
      <c r="A11" s="7"/>
      <c r="B11" s="8"/>
      <c r="C11" s="8"/>
      <c r="D11" s="8"/>
      <c r="E11" s="8"/>
      <c r="F11" s="9"/>
    </row>
    <row r="12" spans="1:6">
      <c r="A12" s="7"/>
      <c r="B12" s="8"/>
      <c r="C12" s="8"/>
      <c r="D12" s="8"/>
      <c r="E12" s="8"/>
      <c r="F12" s="9"/>
    </row>
    <row r="13" spans="1:6">
      <c r="A13" s="7"/>
      <c r="B13" s="8"/>
      <c r="C13" s="8"/>
      <c r="D13" s="8"/>
      <c r="E13" s="8"/>
      <c r="F13" s="9"/>
    </row>
    <row r="14" spans="1:6">
      <c r="A14" s="7"/>
      <c r="B14" s="8"/>
      <c r="C14" s="8"/>
      <c r="D14" s="8"/>
      <c r="E14" s="8"/>
      <c r="F14" s="9"/>
    </row>
    <row r="15" spans="1:6">
      <c r="A15" s="7"/>
      <c r="B15" s="8"/>
      <c r="C15" s="8"/>
      <c r="D15" s="8"/>
      <c r="E15" s="8"/>
      <c r="F15" s="9"/>
    </row>
    <row r="16" spans="1:6">
      <c r="A16" s="7"/>
      <c r="B16" s="8"/>
      <c r="C16" s="8"/>
      <c r="D16" s="8"/>
      <c r="E16" s="8"/>
      <c r="F16" s="9"/>
    </row>
    <row r="17" spans="1:6">
      <c r="A17" s="7"/>
      <c r="B17" s="8"/>
      <c r="C17" s="8"/>
      <c r="D17" s="8"/>
      <c r="E17" s="8"/>
      <c r="F17" s="9"/>
    </row>
    <row r="18" spans="1:6">
      <c r="A18" s="7"/>
      <c r="B18" s="8"/>
      <c r="C18" s="8"/>
      <c r="D18" s="8"/>
      <c r="E18" s="8"/>
      <c r="F18" s="9"/>
    </row>
    <row r="19" spans="1:6">
      <c r="A19" s="7"/>
      <c r="B19" s="8"/>
      <c r="C19" s="8"/>
      <c r="D19" s="8"/>
      <c r="E19" s="8"/>
      <c r="F19" s="9"/>
    </row>
  </sheetData>
  <customSheetViews>
    <customSheetView guid="{C2C64AFF-719D-4BC9-890F-147B4447CC0D}" scale="80" state="hidden">
      <selection activeCell="A4" sqref="A4"/>
      <pageMargins left="0" right="0" top="0" bottom="0" header="0" footer="0"/>
      <pageSetup paperSize="0" orientation="portrait" horizontalDpi="0" verticalDpi="0" copies="0"/>
    </customSheetView>
    <customSheetView guid="{CFB060A1-0877-4347-95EC-FD6452ADBD74}" scale="80" state="hidden">
      <selection activeCell="A4" sqref="A4"/>
      <pageMargins left="0" right="0" top="0" bottom="0" header="0" footer="0"/>
      <pageSetup paperSize="0" orientation="portrait" horizontalDpi="0" verticalDpi="0" copies="0"/>
    </customSheetView>
  </customSheetView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73C7-BE41-4687-9111-3F09EBE76112}">
  <sheetPr codeName="Sheet25"/>
  <dimension ref="A1:A4"/>
  <sheetViews>
    <sheetView workbookViewId="0"/>
  </sheetViews>
  <sheetFormatPr defaultRowHeight="13.2"/>
  <sheetData>
    <row r="1" spans="1:1">
      <c r="A1" t="s">
        <v>1134</v>
      </c>
    </row>
    <row r="2" spans="1:1">
      <c r="A2" t="s">
        <v>1135</v>
      </c>
    </row>
    <row r="3" spans="1:1">
      <c r="A3" t="s">
        <v>1136</v>
      </c>
    </row>
    <row r="4" spans="1:1">
      <c r="A4" t="s">
        <v>1137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TaxCatchAll xmlns="142cfecf-a67e-49a6-b53d-043076f42ff3" xsi:nil="true"/>
    <lcf76f155ced4ddcb4097134ff3c332f xmlns="a108b730-cace-438a-9a31-94639ffe5e3c">
      <Terms xmlns="http://schemas.microsoft.com/office/infopath/2007/PartnerControls"/>
    </lcf76f155ced4ddcb4097134ff3c332f>
    <RecievedDocs xmlns="a108b730-cace-438a-9a31-94639ffe5e3c">true</RecievedDocs>
  </documentManagement>
</p:properties>
</file>

<file path=customXml/item19.xml><?xml version="1.0" encoding="utf-8"?>
<ct:contentTypeSchema xmlns:ct="http://schemas.microsoft.com/office/2006/metadata/contentType" xmlns:ma="http://schemas.microsoft.com/office/2006/metadata/properties/metaAttributes" ct:_="" ma:_="" ma:contentTypeName="Document" ma:contentTypeID="0x010100EA54D2627BA263418E595C489DE30E30" ma:contentTypeVersion="16" ma:contentTypeDescription="Create a new document." ma:contentTypeScope="" ma:versionID="a6ad1aeadc44c00cf51617728478b7de">
  <xsd:schema xmlns:xsd="http://www.w3.org/2001/XMLSchema" xmlns:xs="http://www.w3.org/2001/XMLSchema" xmlns:p="http://schemas.microsoft.com/office/2006/metadata/properties" xmlns:ns2="a108b730-cace-438a-9a31-94639ffe5e3c" xmlns:ns3="142cfecf-a67e-49a6-b53d-043076f42ff3" targetNamespace="http://schemas.microsoft.com/office/2006/metadata/properties" ma:root="true" ma:fieldsID="334bf14f5b4b8d3dcbc116ed1adf5f51" ns2:_="" ns3:_="">
    <xsd:import namespace="a108b730-cace-438a-9a31-94639ffe5e3c"/>
    <xsd:import namespace="142cfecf-a67e-49a6-b53d-043076f42ff3"/>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element ref="ns2:RecievedDoc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8b730-cace-438a-9a31-94639ffe5e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c4dd2099-9045-4afe-b326-2569af220673"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RecievedDocs" ma:index="23" nillable="true" ma:displayName="Recieved Docs" ma:default="1" ma:format="Dropdown" ma:internalName="RecievedDocs">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42cfecf-a67e-49a6-b53d-043076f42ff3"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5554ea5f-3132-4704-81d8-d3f4d0a12ba8}" ma:internalName="TaxCatchAll" ma:showField="CatchAllData" ma:web="142cfecf-a67e-49a6-b53d-043076f42ff3">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Props1.xml><?xml version="1.0" encoding="utf-8"?>
<ds:datastoreItem xmlns:ds="http://schemas.openxmlformats.org/officeDocument/2006/customXml" ds:itemID="{BFFFB4F5-022C-492E-BB16-F60D726BD17B}">
  <ds:schemaRefs/>
</ds:datastoreItem>
</file>

<file path=customXml/itemProps2.xml><?xml version="1.0" encoding="utf-8"?>
<ds:datastoreItem xmlns:ds="http://schemas.openxmlformats.org/officeDocument/2006/customXml" ds:itemID="{CCEB9CB5-F8AE-48BD-A458-9196928EEC16}">
  <ds:schemaRefs/>
</ds:datastoreItem>
</file>

<file path=customXml/itemProps3.xml><?xml version="1.0" encoding="utf-8"?>
<ds:datastoreItem xmlns:ds="http://schemas.openxmlformats.org/officeDocument/2006/customXml" ds:itemID="{11D68B31-43F5-4E8B-BB16-B3A1793D4F0E}">
  <ds:schemaRefs/>
</ds:datastoreItem>
</file>

<file path=customXml/itemProps4.xml><?xml version="1.0" encoding="utf-8"?>
<ds:datastoreItem xmlns:ds="http://schemas.openxmlformats.org/officeDocument/2006/customXml" ds:itemID="{202BD95D-D4F3-4A3A-A220-DD0025586989}">
  <ds:schemaRefs/>
</ds:datastoreItem>
</file>

<file path=customXml/itemProps5.xml><?xml version="1.0" encoding="utf-8"?>
<ds:datastoreItem xmlns:ds="http://schemas.openxmlformats.org/officeDocument/2006/customXml" ds:itemID="{98123A46-45C8-47F2-928B-BC81C2E3D0F3}">
  <ds:schemaRefs/>
</ds:datastoreItem>
</file>

<file path=customXml/itemProps6.xml><?xml version="1.0" encoding="utf-8"?>
<ds:datastoreItem xmlns:ds="http://schemas.openxmlformats.org/officeDocument/2006/customXml" ds:itemID="{A2E97B54-2B54-416F-AD8A-603118CFD066}">
  <ds:schemaRefs/>
</ds:datastoreItem>
</file>

<file path=customXml/itemProps7.xml><?xml version="1.0" encoding="utf-8"?>
<ds:datastoreItem xmlns:ds="http://schemas.openxmlformats.org/officeDocument/2006/customXml" ds:itemID="{CFAE15CB-5728-4AD7-BB93-43C801484382}">
  <ds:schemaRefs/>
</ds:datastoreItem>
</file>

<file path=customXml/itemProps8.xml><?xml version="1.0" encoding="utf-8"?>
<ds:datastoreItem xmlns:ds="http://schemas.openxmlformats.org/officeDocument/2006/customXml" ds:itemID="{6C836735-04A3-47B1-9395-20644043DA7A}">
  <ds:schemaRefs/>
</ds:datastoreItem>
</file>

<file path=customXml/itemProps9.xml><?xml version="1.0" encoding="utf-8"?>
<ds:datastoreItem xmlns:ds="http://schemas.openxmlformats.org/officeDocument/2006/customXml" ds:itemID="{DD6671B5-932C-4DD5-95B3-35D2ADE9A0C8}">
  <ds:schemaRefs>
    <ds:schemaRef ds:uri="http://schemas.microsoft.com/DataMashup"/>
  </ds:schemaRefs>
</ds:datastoreItem>
</file>

<file path=customXml/itemProps10.xml><?xml version="1.0" encoding="utf-8"?>
<ds:datastoreItem xmlns:ds="http://schemas.openxmlformats.org/officeDocument/2006/customXml" ds:itemID="{559E03E3-4F38-4A7D-A2CE-5664461FAB63}">
  <ds:schemaRefs/>
</ds:datastoreItem>
</file>

<file path=customXml/itemProps11.xml><?xml version="1.0" encoding="utf-8"?>
<ds:datastoreItem xmlns:ds="http://schemas.openxmlformats.org/officeDocument/2006/customXml" ds:itemID="{B594DC0A-F101-49CA-A46F-07F594E7ED35}">
  <ds:schemaRefs/>
</ds:datastoreItem>
</file>

<file path=customXml/itemProps12.xml><?xml version="1.0" encoding="utf-8"?>
<ds:datastoreItem xmlns:ds="http://schemas.openxmlformats.org/officeDocument/2006/customXml" ds:itemID="{9940D8B9-2D69-43A0-83D9-374CFF955CEE}">
  <ds:schemaRefs>
    <ds:schemaRef ds:uri="http://schemas.microsoft.com/sharepoint/v3/contenttype/forms"/>
  </ds:schemaRefs>
</ds:datastoreItem>
</file>

<file path=customXml/itemProps13.xml><?xml version="1.0" encoding="utf-8"?>
<ds:datastoreItem xmlns:ds="http://schemas.openxmlformats.org/officeDocument/2006/customXml" ds:itemID="{D1E677BE-6D9A-40B1-A535-557A8D8CB7B0}">
  <ds:schemaRefs/>
</ds:datastoreItem>
</file>

<file path=customXml/itemProps14.xml><?xml version="1.0" encoding="utf-8"?>
<ds:datastoreItem xmlns:ds="http://schemas.openxmlformats.org/officeDocument/2006/customXml" ds:itemID="{A0A47E55-EFDD-4D48-B64E-90E303F1423B}">
  <ds:schemaRefs/>
</ds:datastoreItem>
</file>

<file path=customXml/itemProps15.xml><?xml version="1.0" encoding="utf-8"?>
<ds:datastoreItem xmlns:ds="http://schemas.openxmlformats.org/officeDocument/2006/customXml" ds:itemID="{12878AAF-D10A-4630-B177-264640454A5B}">
  <ds:schemaRefs/>
</ds:datastoreItem>
</file>

<file path=customXml/itemProps16.xml><?xml version="1.0" encoding="utf-8"?>
<ds:datastoreItem xmlns:ds="http://schemas.openxmlformats.org/officeDocument/2006/customXml" ds:itemID="{FBF1550D-F37C-4AC4-8442-58C46641A5B2}">
  <ds:schemaRefs/>
</ds:datastoreItem>
</file>

<file path=customXml/itemProps17.xml><?xml version="1.0" encoding="utf-8"?>
<ds:datastoreItem xmlns:ds="http://schemas.openxmlformats.org/officeDocument/2006/customXml" ds:itemID="{69C9C9F1-F260-411C-B17D-83D158789AD7}">
  <ds:schemaRefs/>
</ds:datastoreItem>
</file>

<file path=customXml/itemProps18.xml><?xml version="1.0" encoding="utf-8"?>
<ds:datastoreItem xmlns:ds="http://schemas.openxmlformats.org/officeDocument/2006/customXml" ds:itemID="{B12BC704-DD0E-4787-BDFE-7F84B4BAD2C5}">
  <ds:schemaRefs>
    <ds:schemaRef ds:uri="http://schemas.microsoft.com/office/2006/metadata/properties"/>
    <ds:schemaRef ds:uri="http://schemas.microsoft.com/office/infopath/2007/PartnerControls"/>
    <ds:schemaRef ds:uri="142cfecf-a67e-49a6-b53d-043076f42ff3"/>
    <ds:schemaRef ds:uri="a108b730-cace-438a-9a31-94639ffe5e3c"/>
  </ds:schemaRefs>
</ds:datastoreItem>
</file>

<file path=customXml/itemProps19.xml><?xml version="1.0" encoding="utf-8"?>
<ds:datastoreItem xmlns:ds="http://schemas.openxmlformats.org/officeDocument/2006/customXml" ds:itemID="{367E0114-6BEB-4254-A256-3E3D91F4AE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08b730-cace-438a-9a31-94639ffe5e3c"/>
    <ds:schemaRef ds:uri="142cfecf-a67e-49a6-b53d-043076f42f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A92050DD-A532-44C4-8314-95D4A59D6F4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Risks</vt:lpstr>
      <vt:lpstr>Issues</vt:lpstr>
      <vt:lpstr>Risk Framework</vt:lpstr>
      <vt:lpstr>Controls Filter</vt:lpstr>
      <vt:lpstr>Monitoring Framework</vt:lpstr>
      <vt:lpstr>Montoring 2</vt:lpstr>
      <vt:lpstr>KRI Monthly Changes</vt:lpstr>
      <vt:lpstr>KPI Monthly Changes</vt:lpstr>
      <vt:lpstr>KRI Table</vt:lpstr>
      <vt:lpstr>Monitoring KRIs Vs KPIs</vt:lpstr>
      <vt:lpstr>Executive Risk Dashboard</vt:lpstr>
      <vt:lpstr>KPIs Table</vt:lpstr>
      <vt:lpstr>Assumptions</vt:lpstr>
      <vt:lpstr>Dependencies</vt:lpstr>
      <vt:lpstr>Dashboard</vt:lpstr>
      <vt:lpstr>KRIs VS KPIs</vt:lpstr>
      <vt:lpstr>KRI_KPI Overview</vt:lpstr>
      <vt:lpstr>KRI Definitions</vt:lpstr>
      <vt:lpstr>Guide</vt:lpstr>
      <vt:lpstr>Risk matrix1</vt:lpstr>
      <vt:lpstr>RAD data</vt:lpstr>
      <vt:lpstr>Issue data</vt:lpstr>
      <vt:lpstr>Heat Map Report</vt:lpstr>
      <vt:lpstr>Pivot_table</vt:lpstr>
      <vt:lpstr>Opportunities</vt:lpstr>
      <vt:lpstr>Issues!ctrlCount</vt:lpstr>
      <vt:lpstr>Risks!Gross_I</vt:lpstr>
      <vt:lpstr>Risks!Gross_L</vt:lpstr>
      <vt:lpstr>Risks!Net_I</vt:lpstr>
      <vt:lpstr>Risks!Net_L</vt:lpstr>
      <vt:lpstr>'Heat Map Report'!Print_Area</vt:lpstr>
      <vt:lpstr>Issues!Print_Area</vt:lpstr>
      <vt:lpstr>Risks!Print_Area</vt:lpstr>
      <vt:lpstr>Issues!Print_Titles</vt:lpstr>
      <vt:lpstr>Risks!Print_Titles</vt:lpstr>
      <vt:lpstr>qryFilter_01</vt:lpstr>
      <vt:lpstr>risk_status_options</vt:lpstr>
      <vt:lpstr>Risks!rngData_Risks</vt:lpstr>
      <vt:lpstr>Risks!rngRisk_Owner</vt:lpstr>
      <vt:lpstr>Risks!rngRisk_Refs</vt:lpstr>
      <vt:lpstr>Risks!rngRisks</vt:lpstr>
    </vt:vector>
  </TitlesOfParts>
  <Manager/>
  <Company>Southwark Council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Evert Potgieter</dc:creator>
  <cp:keywords/>
  <dc:description/>
  <cp:lastModifiedBy>Anthony Baafi</cp:lastModifiedBy>
  <cp:revision/>
  <cp:lastPrinted>2025-04-23T09:50:28Z</cp:lastPrinted>
  <dcterms:created xsi:type="dcterms:W3CDTF">2005-07-14T10:16:27Z</dcterms:created>
  <dcterms:modified xsi:type="dcterms:W3CDTF">2026-03-09T23:37:04Z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0x010100EA54D2627BA263418E595C489DE30E30</vt:lpwstr>
  </property>
  <property fmtid="{D5CDD505-2E9C-101B-9397-08002B2CF9AE}" pid="3" name="MediaServiceImageTags">
    <vt:lpwstr/>
  </property>
</Properties>
</file>